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81" activeTab="11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." sheetId="10" r:id="rId10"/>
    <sheet name="DEP.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<sst xmlns="http://schemas.openxmlformats.org/spreadsheetml/2006/main" count="554" uniqueCount="140">
  <si>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</si>
  <si>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</si>
  <si>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</si>
  <si>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</si>
  <si>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</si>
  <si>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</si>
  <si>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</si>
  <si>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</si>
  <si>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</si>
  <si>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</si>
  <si>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</si>
  <si>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</si>
  <si>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Dir.Planeamiento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</si>
  <si>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</si>
  <si>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</si>
  <si>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</si>
  <si>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</si>
  <si>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</si>
  <si>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</si>
  <si>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</si>
  <si>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</si>
  <si>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</si>
  <si>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</si>
  <si>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</si>
  <si>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</si>
  <si>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</si>
  <si>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</si>
  <si>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</si>
  <si>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</si>
  <si>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</si>
  <si>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</si>
  <si>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</si>
  <si>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</si>
  <si>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</si>
  <si>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</si>
  <si>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</si>
  <si>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</si>
  <si>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</si>
  <si>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</si>
  <si>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</si>
  <si>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</si>
  <si>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</si>
  <si>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</si>
  <si>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</si>
  <si>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</si>
  <si>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</si>
  <si>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</si>
  <si>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</si>
  <si>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</si>
  <si>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</si>
  <si>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</si>
  <si>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</si>
  <si>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</si>
  <si>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</si>
  <si>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</si>
  <si>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</si>
  <si>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</si>
  <si>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</si>
  <si>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</si>
  <si>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</si>
  <si>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</si>
  <si>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</si>
  <si>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</si>
  <si>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</si>
  <si>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</si>
  <si>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</si>
  <si>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</si>
  <si>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</si>
  <si>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</si>
  <si>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</si>
  <si>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</si>
  <si>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</si>
  <si>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</si>
  <si>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</si>
  <si>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</si>
  <si>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</si>
  <si>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</si>
  <si>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</si>
  <si>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</si>
  <si>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</si>
  <si>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</si>
  <si>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</si>
  <si>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</si>
  <si>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</si>
  <si>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</si>
  <si>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</si>
  <si>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</si>
  <si>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</si>
  <si>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</si>
  <si>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</si>
  <si>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</si>
  <si>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</si>
  <si>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</si>
  <si>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</si>
  <si>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Centro Cultural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</si>
  <si>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</si>
  <si>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</si>
  <si>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</si>
  <si>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</si>
  <si>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</si>
  <si>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</si>
  <si>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</si>
  <si>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</si>
  <si>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</si>
  <si>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</si>
  <si>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</si>
  <si>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</si>
  <si>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</si>
  <si>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</si>
  <si>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 ECONOMÍA  Y  HACIENDA</t>
  </si>
  <si>
    <t>SECRETARIA DE ACCIÓN  SOCIAL</t>
  </si>
  <si>
    <t>SECRETARIA DE FISCALIZACIÓN Y  ORGANIZACIÓN  INTERNA</t>
  </si>
  <si>
    <t>CONCEJO  DELIBERANTE</t>
  </si>
  <si>
    <t>Bloque Frente Grande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</si>
  <si>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</si>
  <si>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</si>
  <si>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</si>
  <si>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</si>
  <si>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</si>
  <si>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</si>
  <si>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</si>
  <si>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</si>
  <si>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</si>
  <si>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</si>
  <si>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</si>
  <si>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</si>
  <si>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</si>
  <si>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</si>
  <si>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</si>
  <si>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</si>
  <si>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</si>
  <si>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 xml:space="preserve">                TRANSF. CTES.</t>
  </si>
  <si>
    <t>Coord.Artes Dramáticas</t>
  </si>
  <si>
    <t>Coord.Artes Sonoras</t>
  </si>
  <si>
    <t>Coord.Relac.Culturales</t>
  </si>
  <si>
    <t>Coord.Artes Visuales</t>
  </si>
  <si>
    <t>Coord. Artes del Movim.</t>
  </si>
  <si>
    <t>Coord. Talleres Barriales</t>
  </si>
  <si>
    <t>SECRETARIA  DE OBRAS  PÚBLICAS</t>
  </si>
  <si>
    <t>Dpto. Tercera Edad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</si>
</sst>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3">
    <font>
      <sz val="11"/>
      <name val="Garamond"/>
      <family val="0"/>
    </font>
    <font>
      <sz val="20.5"/>
      <name val="Garamond"/>
      <family val="0"/>
    </font>
    <font>
      <sz val="21.75"/>
      <name val="Garamond"/>
      <family val="0"/>
    </font>
    <font>
      <sz val="23.5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22.5"/>
      <name val="Garamond"/>
      <family val="0"/>
    </font>
    <font>
      <sz val="21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22"/>
      <name val="Garamond"/>
      <family val="0"/>
    </font>
    <font>
      <sz val="20.25"/>
      <name val="Garamond"/>
      <family val="0"/>
    </font>
    <font>
      <sz val="8"/>
      <name val="Garamond"/>
      <family val="0"/>
    </font>
    <font>
      <sz val="29"/>
      <name val="Garamond"/>
      <family val="0"/>
    </font>
    <font>
      <sz val="29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1.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i/>
      <u val="single"/>
      <sz val="10.25"/>
      <name val="Trebuchet MS"/>
      <family val="2"/>
    </font>
    <font>
      <b/>
      <sz val="7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6.75"/>
      <name val="Trebuchet MS"/>
      <family val="2"/>
    </font>
    <font>
      <b/>
      <sz val="4.75"/>
      <name val="Trebuchet MS"/>
      <family val="2"/>
    </font>
    <font>
      <sz val="11"/>
      <color indexed="20"/>
      <name val="Garamond"/>
      <family val="0"/>
    </font>
    <font>
      <b/>
      <sz val="6"/>
      <name val="Trebuchet MS"/>
      <family val="2"/>
    </font>
    <font>
      <b/>
      <sz val="4.5"/>
      <name val="Trebuchet MS"/>
      <family val="2"/>
    </font>
    <font>
      <sz val="12"/>
      <color indexed="20"/>
      <name val="Garamond"/>
      <family val="0"/>
    </font>
    <font>
      <b/>
      <sz val="5"/>
      <name val="Trebuchet MS"/>
      <family val="2"/>
    </font>
    <font>
      <b/>
      <sz val="7"/>
      <name val="Trebuchet MS"/>
      <family val="2"/>
    </font>
    <font>
      <b/>
      <sz val="6.5"/>
      <name val="Trebuchet MS"/>
      <family val="2"/>
    </font>
    <font>
      <b/>
      <sz val="7.5"/>
      <name val="Trebuchet MS"/>
      <family val="2"/>
    </font>
    <font>
      <b/>
      <sz val="5.75"/>
      <name val="Trebuchet MS"/>
      <family val="2"/>
    </font>
    <font>
      <b/>
      <sz val="6.25"/>
      <name val="Trebuchet MS"/>
      <family val="2"/>
    </font>
    <font>
      <b/>
      <i/>
      <sz val="12"/>
      <color indexed="18"/>
      <name val="Trebuchet MS"/>
      <family val="2"/>
    </font>
    <font>
      <i/>
      <sz val="12"/>
      <color indexed="18"/>
      <name val="Garamond"/>
      <family val="0"/>
    </font>
    <font>
      <i/>
      <sz val="11"/>
      <color indexed="18"/>
      <name val="Garamond"/>
      <family val="0"/>
    </font>
    <font>
      <i/>
      <sz val="12"/>
      <color indexed="18"/>
      <name val="Trebuchet MS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double"/>
      <right style="hair"/>
      <top>
        <color indexed="63"/>
      </top>
      <bottom>
        <color indexed="63"/>
      </bottom>
    </border>
    <border>
      <left style="slantDashDot"/>
      <right style="slantDashDot"/>
      <top style="thin"/>
      <bottom style="slantDashDot"/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7" xfId="0" applyFont="1" applyBorder="1" applyAlignment="1">
      <alignment/>
    </xf>
    <xf numFmtId="9" fontId="21" fillId="0" borderId="0" xfId="0" applyNumberFormat="1" applyFont="1" applyAlignment="1">
      <alignment/>
    </xf>
    <xf numFmtId="4" fontId="15" fillId="0" borderId="8" xfId="0" applyNumberFormat="1" applyFont="1" applyBorder="1" applyAlignment="1">
      <alignment/>
    </xf>
    <xf numFmtId="10" fontId="15" fillId="0" borderId="8" xfId="0" applyNumberFormat="1" applyFont="1" applyBorder="1" applyAlignment="1">
      <alignment/>
    </xf>
    <xf numFmtId="10" fontId="15" fillId="0" borderId="9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" fontId="15" fillId="0" borderId="13" xfId="0" applyNumberFormat="1" applyFont="1" applyBorder="1" applyAlignment="1">
      <alignment/>
    </xf>
    <xf numFmtId="17" fontId="2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17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32" fillId="0" borderId="20" xfId="0" applyFont="1" applyBorder="1" applyAlignment="1">
      <alignment/>
    </xf>
    <xf numFmtId="3" fontId="32" fillId="0" borderId="21" xfId="0" applyNumberFormat="1" applyFont="1" applyBorder="1" applyAlignment="1">
      <alignment/>
    </xf>
    <xf numFmtId="4" fontId="33" fillId="0" borderId="22" xfId="0" applyNumberFormat="1" applyFont="1" applyBorder="1" applyAlignment="1">
      <alignment/>
    </xf>
    <xf numFmtId="4" fontId="33" fillId="0" borderId="23" xfId="0" applyNumberFormat="1" applyFont="1" applyBorder="1" applyAlignment="1">
      <alignment/>
    </xf>
    <xf numFmtId="0" fontId="32" fillId="0" borderId="21" xfId="0" applyFont="1" applyBorder="1" applyAlignment="1">
      <alignment/>
    </xf>
    <xf numFmtId="4" fontId="21" fillId="0" borderId="22" xfId="0" applyNumberFormat="1" applyFont="1" applyBorder="1" applyAlignment="1">
      <alignment/>
    </xf>
    <xf numFmtId="4" fontId="33" fillId="0" borderId="21" xfId="0" applyNumberFormat="1" applyFont="1" applyBorder="1" applyAlignment="1">
      <alignment/>
    </xf>
    <xf numFmtId="0" fontId="20" fillId="0" borderId="24" xfId="0" applyFont="1" applyBorder="1" applyAlignment="1">
      <alignment/>
    </xf>
    <xf numFmtId="3" fontId="15" fillId="0" borderId="25" xfId="0" applyNumberFormat="1" applyFont="1" applyBorder="1" applyAlignment="1">
      <alignment/>
    </xf>
    <xf numFmtId="4" fontId="33" fillId="0" borderId="26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4" fontId="33" fillId="0" borderId="27" xfId="0" applyNumberFormat="1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9" fontId="21" fillId="0" borderId="30" xfId="19" applyFont="1" applyBorder="1" applyAlignment="1">
      <alignment/>
    </xf>
    <xf numFmtId="9" fontId="21" fillId="0" borderId="30" xfId="19" applyNumberFormat="1" applyFont="1" applyBorder="1" applyAlignment="1">
      <alignment/>
    </xf>
    <xf numFmtId="9" fontId="21" fillId="0" borderId="31" xfId="19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9" fontId="21" fillId="0" borderId="0" xfId="19" applyFont="1" applyBorder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171" fontId="33" fillId="0" borderId="0" xfId="15" applyFont="1" applyAlignment="1">
      <alignment/>
    </xf>
    <xf numFmtId="17" fontId="31" fillId="0" borderId="0" xfId="0" applyNumberFormat="1" applyFont="1" applyAlignment="1">
      <alignment/>
    </xf>
    <xf numFmtId="3" fontId="33" fillId="0" borderId="2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3" fontId="32" fillId="0" borderId="2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15" fillId="0" borderId="32" xfId="0" applyFont="1" applyBorder="1" applyAlignment="1">
      <alignment horizontal="center"/>
    </xf>
    <xf numFmtId="3" fontId="33" fillId="0" borderId="22" xfId="0" applyNumberFormat="1" applyFont="1" applyBorder="1" applyAlignment="1">
      <alignment/>
    </xf>
    <xf numFmtId="3" fontId="15" fillId="0" borderId="25" xfId="15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32" fillId="0" borderId="21" xfId="0" applyNumberFormat="1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3" fontId="33" fillId="0" borderId="21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4" fontId="32" fillId="0" borderId="23" xfId="0" applyNumberFormat="1" applyFont="1" applyBorder="1" applyAlignment="1">
      <alignment/>
    </xf>
    <xf numFmtId="17" fontId="21" fillId="0" borderId="0" xfId="0" applyNumberFormat="1" applyFont="1" applyAlignment="1">
      <alignment/>
    </xf>
    <xf numFmtId="0" fontId="33" fillId="0" borderId="20" xfId="0" applyFont="1" applyBorder="1" applyAlignment="1">
      <alignment/>
    </xf>
    <xf numFmtId="4" fontId="33" fillId="0" borderId="33" xfId="0" applyNumberFormat="1" applyFont="1" applyBorder="1" applyAlignment="1">
      <alignment/>
    </xf>
    <xf numFmtId="0" fontId="20" fillId="0" borderId="25" xfId="0" applyFont="1" applyBorder="1" applyAlignment="1">
      <alignment/>
    </xf>
    <xf numFmtId="9" fontId="21" fillId="0" borderId="26" xfId="19" applyFont="1" applyBorder="1" applyAlignment="1">
      <alignment/>
    </xf>
    <xf numFmtId="9" fontId="21" fillId="0" borderId="34" xfId="19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0" fontId="21" fillId="0" borderId="26" xfId="19" applyNumberFormat="1" applyFont="1" applyBorder="1" applyAlignment="1">
      <alignment/>
    </xf>
    <xf numFmtId="4" fontId="33" fillId="0" borderId="32" xfId="0" applyNumberFormat="1" applyFont="1" applyBorder="1" applyAlignment="1">
      <alignment/>
    </xf>
    <xf numFmtId="0" fontId="40" fillId="0" borderId="0" xfId="0" applyFont="1" applyAlignment="1">
      <alignment/>
    </xf>
    <xf numFmtId="0" fontId="27" fillId="0" borderId="0" xfId="0" applyFont="1" applyFill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3" fontId="20" fillId="0" borderId="25" xfId="0" applyNumberFormat="1" applyFont="1" applyBorder="1" applyAlignment="1">
      <alignment/>
    </xf>
    <xf numFmtId="3" fontId="32" fillId="0" borderId="22" xfId="0" applyNumberFormat="1" applyFont="1" applyFill="1" applyBorder="1" applyAlignment="1">
      <alignment/>
    </xf>
    <xf numFmtId="4" fontId="33" fillId="0" borderId="35" xfId="0" applyNumberFormat="1" applyFont="1" applyBorder="1" applyAlignment="1">
      <alignment/>
    </xf>
    <xf numFmtId="10" fontId="33" fillId="0" borderId="35" xfId="0" applyNumberFormat="1" applyFont="1" applyBorder="1" applyAlignment="1">
      <alignment/>
    </xf>
    <xf numFmtId="4" fontId="33" fillId="0" borderId="36" xfId="0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32" fillId="0" borderId="42" xfId="0" applyFont="1" applyBorder="1" applyAlignment="1">
      <alignment/>
    </xf>
    <xf numFmtId="4" fontId="33" fillId="0" borderId="43" xfId="0" applyNumberFormat="1" applyFont="1" applyBorder="1" applyAlignment="1">
      <alignment/>
    </xf>
    <xf numFmtId="4" fontId="33" fillId="0" borderId="44" xfId="0" applyNumberFormat="1" applyFont="1" applyBorder="1" applyAlignment="1">
      <alignment/>
    </xf>
    <xf numFmtId="0" fontId="20" fillId="0" borderId="45" xfId="0" applyFont="1" applyBorder="1" applyAlignment="1">
      <alignment/>
    </xf>
    <xf numFmtId="9" fontId="21" fillId="0" borderId="46" xfId="19" applyFont="1" applyBorder="1" applyAlignment="1">
      <alignment/>
    </xf>
    <xf numFmtId="9" fontId="21" fillId="0" borderId="47" xfId="19" applyFont="1" applyBorder="1" applyAlignment="1">
      <alignment/>
    </xf>
    <xf numFmtId="3" fontId="15" fillId="0" borderId="48" xfId="0" applyNumberFormat="1" applyFont="1" applyBorder="1" applyAlignment="1">
      <alignment/>
    </xf>
    <xf numFmtId="4" fontId="33" fillId="0" borderId="49" xfId="0" applyNumberFormat="1" applyFont="1" applyBorder="1" applyAlignment="1">
      <alignment/>
    </xf>
    <xf numFmtId="4" fontId="33" fillId="0" borderId="48" xfId="0" applyNumberFormat="1" applyFont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17" fontId="41" fillId="0" borderId="0" xfId="0" applyNumberFormat="1" applyFont="1" applyFill="1" applyAlignment="1">
      <alignment horizontal="center"/>
    </xf>
    <xf numFmtId="17" fontId="42" fillId="0" borderId="0" xfId="0" applyNumberFormat="1" applyFont="1" applyAlignment="1">
      <alignment/>
    </xf>
    <xf numFmtId="0" fontId="15" fillId="0" borderId="54" xfId="0" applyFont="1" applyBorder="1" applyAlignment="1">
      <alignment horizontal="center"/>
    </xf>
    <xf numFmtId="17" fontId="41" fillId="0" borderId="0" xfId="0" applyNumberFormat="1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8" borderId="57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4" fontId="33" fillId="0" borderId="58" xfId="0" applyNumberFormat="1" applyFont="1" applyBorder="1" applyAlignment="1">
      <alignment/>
    </xf>
    <xf numFmtId="4" fontId="33" fillId="0" borderId="59" xfId="0" applyNumberFormat="1" applyFont="1" applyBorder="1" applyAlignment="1">
      <alignment/>
    </xf>
    <xf numFmtId="4" fontId="33" fillId="0" borderId="60" xfId="0" applyNumberFormat="1" applyFont="1" applyBorder="1" applyAlignment="1">
      <alignment/>
    </xf>
    <xf numFmtId="10" fontId="21" fillId="0" borderId="30" xfId="19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0" fontId="21" fillId="0" borderId="61" xfId="19" applyNumberFormat="1" applyFont="1" applyBorder="1" applyAlignment="1">
      <alignment/>
    </xf>
    <xf numFmtId="9" fontId="21" fillId="0" borderId="62" xfId="19" applyFont="1" applyBorder="1" applyAlignment="1">
      <alignment/>
    </xf>
    <xf numFmtId="10" fontId="21" fillId="0" borderId="46" xfId="19" applyNumberFormat="1" applyFont="1" applyBorder="1" applyAlignment="1">
      <alignment/>
    </xf>
    <xf numFmtId="10" fontId="21" fillId="0" borderId="63" xfId="19" applyNumberFormat="1" applyFont="1" applyBorder="1" applyAlignment="1">
      <alignment/>
    </xf>
    <xf numFmtId="10" fontId="21" fillId="0" borderId="64" xfId="19" applyNumberFormat="1" applyFont="1" applyBorder="1" applyAlignment="1">
      <alignment/>
    </xf>
    <xf numFmtId="0" fontId="15" fillId="0" borderId="0" xfId="0" applyFont="1" applyAlignment="1">
      <alignment horizontal="right"/>
    </xf>
    <xf numFmtId="10" fontId="21" fillId="0" borderId="31" xfId="19" applyNumberFormat="1" applyFont="1" applyBorder="1" applyAlignment="1">
      <alignment/>
    </xf>
    <xf numFmtId="9" fontId="21" fillId="0" borderId="61" xfId="19" applyNumberFormat="1" applyFont="1" applyBorder="1" applyAlignment="1">
      <alignment/>
    </xf>
    <xf numFmtId="10" fontId="21" fillId="0" borderId="34" xfId="19" applyNumberFormat="1" applyFont="1" applyBorder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0" fontId="21" fillId="0" borderId="65" xfId="19" applyNumberFormat="1" applyFont="1" applyBorder="1" applyAlignment="1">
      <alignment/>
    </xf>
    <xf numFmtId="17" fontId="59" fillId="0" borderId="0" xfId="0" applyNumberFormat="1" applyFont="1" applyFill="1" applyAlignment="1">
      <alignment horizontal="center"/>
    </xf>
    <xf numFmtId="0" fontId="22" fillId="10" borderId="0" xfId="0" applyFont="1" applyFill="1" applyAlignment="1">
      <alignment horizontal="center"/>
    </xf>
    <xf numFmtId="0" fontId="20" fillId="11" borderId="66" xfId="0" applyFont="1" applyFill="1" applyBorder="1" applyAlignment="1">
      <alignment/>
    </xf>
    <xf numFmtId="4" fontId="33" fillId="0" borderId="67" xfId="0" applyNumberFormat="1" applyFont="1" applyBorder="1" applyAlignment="1">
      <alignment/>
    </xf>
    <xf numFmtId="9" fontId="21" fillId="0" borderId="26" xfId="19" applyNumberFormat="1" applyFont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center"/>
    </xf>
    <xf numFmtId="0" fontId="59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45" fillId="0" borderId="0" xfId="0" applyFont="1" applyFill="1" applyAlignment="1">
      <alignment horizontal="center" wrapText="1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60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11" borderId="70" xfId="0" applyFont="1" applyFill="1" applyBorder="1" applyAlignment="1">
      <alignment horizontal="center"/>
    </xf>
    <xf numFmtId="0" fontId="15" fillId="11" borderId="71" xfId="0" applyFont="1" applyFill="1" applyBorder="1" applyAlignment="1">
      <alignment horizontal="center"/>
    </xf>
    <xf numFmtId="0" fontId="15" fillId="11" borderId="72" xfId="0" applyFont="1" applyFill="1" applyBorder="1" applyAlignment="1">
      <alignment horizontal="center"/>
    </xf>
    <xf numFmtId="10" fontId="2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C"/>
                </a:gs>
                <a:gs pos="50000">
                  <a:srgbClr val="000080"/>
                </a:gs>
                <a:gs pos="100000">
                  <a:srgbClr val="00003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208181"/>
                </a:gs>
                <a:gs pos="50000">
                  <a:srgbClr val="33CCCC"/>
                </a:gs>
                <a:gs pos="100000">
                  <a:srgbClr val="20818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  <c:max val="1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406382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3375"/>
          <c:w val="0.471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4"/>
          <c:w val="0.983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'CULT.'!$A$52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'CULT.'!$A$53:$A$59</c:f>
              <c:numCache/>
            </c:numRef>
          </c:val>
        </c:ser>
        <c:ser>
          <c:idx val="1"/>
          <c:order val="1"/>
          <c:tx>
            <c:strRef>
              <c:f>'CULT.'!$B$52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'CULT.'!$B$53:$B$59</c:f>
              <c:numCache/>
            </c:numRef>
          </c:val>
        </c:ser>
        <c:axId val="41148232"/>
        <c:axId val="34789769"/>
      </c:bar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4789769"/>
        <c:crosses val="autoZero"/>
        <c:auto val="1"/>
        <c:lblOffset val="100"/>
        <c:noMultiLvlLbl val="0"/>
      </c:catAx>
      <c:valAx>
        <c:axId val="34789769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41148232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25"/>
          <c:y val="0.94125"/>
          <c:w val="0.46"/>
          <c:h val="0.0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3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'DEP.'!$A$46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'DEP.'!$A$47:$A$53</c:f>
              <c:numCache/>
            </c:numRef>
          </c:val>
        </c:ser>
        <c:ser>
          <c:idx val="1"/>
          <c:order val="1"/>
          <c:tx>
            <c:strRef>
              <c:f>'DEP.'!$B$46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'DEP.'!$B$47:$B$53</c:f>
              <c:numCache/>
            </c:numRef>
          </c:val>
        </c:ser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66507875"/>
        <c:crosses val="autoZero"/>
        <c:auto val="1"/>
        <c:lblOffset val="100"/>
        <c:noMultiLvlLbl val="0"/>
      </c:catAx>
      <c:valAx>
        <c:axId val="66507875"/>
        <c:scaling>
          <c:orientation val="minMax"/>
          <c:max val="1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44672466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4525"/>
          <c:w val="0.4647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425"/>
          <c:w val="1"/>
          <c:h val="0.85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TOTAL!$L$61:$L$71</c:f>
              <c:numCache/>
            </c:numRef>
          </c:val>
          <c:shape val="cylinder"/>
        </c:ser>
        <c:overlap val="100"/>
        <c:shape val="cylinder"/>
        <c:axId val="61699964"/>
        <c:axId val="18428765"/>
      </c:bar3D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8428765"/>
        <c:crosses val="autoZero"/>
        <c:auto val="1"/>
        <c:lblOffset val="100"/>
        <c:noMultiLvlLbl val="0"/>
      </c:catAx>
      <c:valAx>
        <c:axId val="18428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16999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8"/>
          <c:w val="0.993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GOB!$A$50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GOB!$A$51:$A$57</c:f>
              <c:numCache/>
            </c:numRef>
          </c:val>
        </c:ser>
        <c:ser>
          <c:idx val="1"/>
          <c:order val="1"/>
          <c:tx>
            <c:strRef>
              <c:f>GOB!$B$50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GOB!$B$51:$B$57</c:f>
              <c:numCache/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  <c:max val="38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3616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"/>
          <c:y val="0.93725"/>
          <c:w val="0.484"/>
          <c:h val="0.051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0.994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  <c:max val="3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/>
            </a:pPr>
          </a:p>
        </c:txPr>
        <c:crossAx val="3858690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"/>
          <c:y val="0.94"/>
          <c:w val="0.44075"/>
          <c:h val="0.05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7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SAS!$A$49:$A$55</c:f>
              <c:numCache/>
            </c:numRef>
          </c:val>
        </c:ser>
        <c:ser>
          <c:idx val="1"/>
          <c:order val="1"/>
          <c:tx>
            <c:strRef>
              <c:f>SAS!$B$48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SAS!$B$49:$B$55</c:f>
              <c:numCache/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  <c:max val="6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44118444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75"/>
          <c:y val="0.94025"/>
          <c:w val="0.479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98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  <c:max val="9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16824182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41"/>
          <c:w val="0.48325"/>
          <c:h val="0.047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95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3B"/>
                  </a:gs>
                  <a:gs pos="5000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20581472"/>
        <c:axId val="51015521"/>
      </c:bar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  <c:max val="7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0" u="none" baseline="0"/>
            </a:pPr>
          </a:p>
        </c:txPr>
        <c:crossAx val="20581472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405"/>
          <c:w val="0.400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6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56486506"/>
        <c:axId val="38616507"/>
      </c:bar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38616507"/>
        <c:crosses val="autoZero"/>
        <c:auto val="1"/>
        <c:lblOffset val="100"/>
        <c:noMultiLvlLbl val="0"/>
      </c:catAx>
      <c:valAx>
        <c:axId val="38616507"/>
        <c:scaling>
          <c:orientation val="minMax"/>
          <c:max val="86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56486506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325"/>
          <c:w val="0.492"/>
          <c:h val="0.056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"/>
          <c:w val="0.976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12004244"/>
        <c:axId val="40929333"/>
      </c:bar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0929333"/>
        <c:crosses val="autoZero"/>
        <c:auto val="1"/>
        <c:lblOffset val="100"/>
        <c:noMultiLvlLbl val="0"/>
      </c:catAx>
      <c:valAx>
        <c:axId val="40929333"/>
        <c:scaling>
          <c:orientation val="minMax"/>
          <c:max val="27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12004244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335"/>
          <c:w val="0.61325"/>
          <c:h val="0.055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32819678"/>
        <c:axId val="26941647"/>
      </c:bar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6941647"/>
        <c:crosses val="autoZero"/>
        <c:auto val="1"/>
        <c:lblOffset val="100"/>
        <c:noMultiLvlLbl val="0"/>
      </c:catAx>
      <c:valAx>
        <c:axId val="26941647"/>
        <c:scaling>
          <c:orientation val="minMax"/>
          <c:max val="14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32819678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93425"/>
          <c:w val="0.502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876425" y="3276600"/>
        <a:ext cx="6791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57150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943100" y="4210050"/>
        <a:ext cx="72104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19050</xdr:rowOff>
    </xdr:from>
    <xdr:to>
      <xdr:col>13</xdr:col>
      <xdr:colOff>409575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2962275"/>
        <a:ext cx="7134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8105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104775</xdr:rowOff>
    </xdr:from>
    <xdr:to>
      <xdr:col>11</xdr:col>
      <xdr:colOff>390525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57300" y="3905250"/>
        <a:ext cx="69342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161925</xdr:rowOff>
    </xdr:from>
    <xdr:to>
      <xdr:col>13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1257300" y="3619500"/>
        <a:ext cx="7153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142875</xdr:rowOff>
    </xdr:from>
    <xdr:to>
      <xdr:col>12</xdr:col>
      <xdr:colOff>371475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628775" y="3429000"/>
        <a:ext cx="6924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104775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00175" y="3057525"/>
        <a:ext cx="7162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0</xdr:rowOff>
    </xdr:from>
    <xdr:to>
      <xdr:col>12</xdr:col>
      <xdr:colOff>504825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581150" y="3228975"/>
        <a:ext cx="7124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13</xdr:col>
      <xdr:colOff>276225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33575" y="3133725"/>
        <a:ext cx="65341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247775" y="3200400"/>
        <a:ext cx="5724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66875" y="3152775"/>
        <a:ext cx="7086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9">
      <selection activeCell="A24" sqref="A2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421875" style="1" customWidth="1"/>
    <col min="4" max="4" width="7.421875" style="1" customWidth="1"/>
    <col min="5" max="5" width="10.140625" style="1" customWidth="1"/>
    <col min="6" max="6" width="9.421875" style="1" customWidth="1"/>
    <col min="7" max="7" width="11.8515625" style="1" customWidth="1"/>
    <col min="8" max="8" width="8.00390625" style="1" customWidth="1"/>
    <col min="9" max="9" width="11.8515625" style="1" customWidth="1"/>
    <col min="10" max="10" width="7.8515625" style="1" customWidth="1"/>
    <col min="11" max="11" width="9.421875" style="1" customWidth="1"/>
    <col min="12" max="12" width="7.421875" style="1" customWidth="1"/>
    <col min="13" max="13" width="9.421875" style="1" customWidth="1"/>
    <col min="14" max="14" width="9.00390625" style="1" customWidth="1"/>
    <col min="15" max="15" width="10.28125" style="1" customWidth="1"/>
    <col min="16" max="16" width="12.8515625" style="1" customWidth="1"/>
    <col min="17" max="17" width="11.57421875" style="1" customWidth="1"/>
    <col min="18" max="18" width="13.8515625" style="1" bestFit="1" customWidth="1"/>
    <col min="19" max="19" width="11.421875" style="1" customWidth="1"/>
    <col min="20" max="20" width="11.8515625" style="1" bestFit="1" customWidth="1"/>
    <col min="21" max="16384" width="11.421875" style="1" customWidth="1"/>
  </cols>
  <sheetData>
    <row r="2" spans="1:15" ht="18">
      <c r="A2" s="150" t="s">
        <v>0</v>
      </c>
      <c r="B2" s="164" t="s">
        <v>105</v>
      </c>
      <c r="C2" s="164"/>
      <c r="D2" s="165"/>
      <c r="E2" s="165"/>
      <c r="L2" s="163" t="s">
        <v>24</v>
      </c>
      <c r="M2" s="163"/>
      <c r="N2" s="157">
        <v>40513</v>
      </c>
      <c r="O2" s="23"/>
    </row>
    <row r="3" spans="2:5" ht="16.5">
      <c r="B3" s="166"/>
      <c r="C3" s="166"/>
      <c r="E3" s="22"/>
    </row>
    <row r="4" spans="3:5" ht="17.25" thickBot="1">
      <c r="C4" s="24"/>
      <c r="D4" s="24"/>
      <c r="E4" s="22"/>
    </row>
    <row r="5" spans="1:17" ht="18" thickTop="1">
      <c r="A5" s="104"/>
      <c r="B5" s="167" t="s">
        <v>1</v>
      </c>
      <c r="C5" s="168"/>
      <c r="D5" s="167" t="s">
        <v>2</v>
      </c>
      <c r="E5" s="168"/>
      <c r="F5" s="167" t="s">
        <v>3</v>
      </c>
      <c r="G5" s="168"/>
      <c r="H5" s="167" t="s">
        <v>4</v>
      </c>
      <c r="I5" s="168"/>
      <c r="J5" s="167" t="s">
        <v>33</v>
      </c>
      <c r="K5" s="168"/>
      <c r="L5" s="105" t="s">
        <v>88</v>
      </c>
      <c r="M5" s="106"/>
      <c r="N5" s="167" t="s">
        <v>34</v>
      </c>
      <c r="O5" s="168"/>
      <c r="P5" s="107" t="s">
        <v>5</v>
      </c>
      <c r="Q5" s="118" t="s">
        <v>39</v>
      </c>
    </row>
    <row r="6" spans="1:17" ht="17.25">
      <c r="A6" s="108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4" t="s">
        <v>26</v>
      </c>
      <c r="Q6" s="119" t="s">
        <v>40</v>
      </c>
    </row>
    <row r="7" spans="1:20" ht="17.25">
      <c r="A7" s="109" t="s">
        <v>15</v>
      </c>
      <c r="B7" s="32">
        <v>475111</v>
      </c>
      <c r="C7" s="33">
        <f>42179.92+1446814.1-C9-C11</f>
        <v>453980.07000000007</v>
      </c>
      <c r="D7" s="32">
        <f>53000-5000</f>
        <v>48000</v>
      </c>
      <c r="E7" s="33">
        <f>1406.31+68614.76-E9-E11</f>
        <v>24704.34999999999</v>
      </c>
      <c r="F7" s="32">
        <f>416564+270000+300000</f>
        <v>986564</v>
      </c>
      <c r="G7" s="33">
        <f>52353.08+1178113.75-G9-G11</f>
        <v>796202.25</v>
      </c>
      <c r="H7" s="32">
        <f>531166-80000</f>
        <v>451166</v>
      </c>
      <c r="I7" s="33">
        <f>59711.11+1394657.26-I9-I11</f>
        <v>931652.2300000002</v>
      </c>
      <c r="J7" s="32">
        <v>0</v>
      </c>
      <c r="K7" s="33">
        <f>31339.57+51113.31-K9-K11</f>
        <v>57555.310000000005</v>
      </c>
      <c r="L7" s="32">
        <v>0</v>
      </c>
      <c r="M7" s="33">
        <f>12219.46-M11</f>
        <v>1819.4599999999991</v>
      </c>
      <c r="N7" s="32">
        <v>150000</v>
      </c>
      <c r="O7" s="33">
        <f>146957.39-O9-O11</f>
        <v>107369.83000000003</v>
      </c>
      <c r="P7" s="110">
        <f>+O7+K7+I7+G7+E7+C7+M7</f>
        <v>2373283.5000000005</v>
      </c>
      <c r="Q7" s="140">
        <f>+B7+D7+F7+H7+J7+N7+L7-P7</f>
        <v>-262442.50000000047</v>
      </c>
      <c r="R7" s="5"/>
      <c r="T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41"/>
    </row>
    <row r="9" spans="1:18" ht="17.25">
      <c r="A9" s="109" t="s">
        <v>101</v>
      </c>
      <c r="B9" s="32">
        <v>124269</v>
      </c>
      <c r="C9" s="33">
        <f>4404.31+143763.84</f>
        <v>148168.15</v>
      </c>
      <c r="D9" s="32">
        <v>24300</v>
      </c>
      <c r="E9" s="33">
        <v>23721.55</v>
      </c>
      <c r="F9" s="32">
        <v>62400</v>
      </c>
      <c r="G9" s="33">
        <f>6406.18+35281.65</f>
        <v>41687.83</v>
      </c>
      <c r="H9" s="32">
        <f>194785+100000</f>
        <v>294785</v>
      </c>
      <c r="I9" s="33">
        <f>1810+243251.63</f>
        <v>245061.63</v>
      </c>
      <c r="J9" s="32">
        <v>200000</v>
      </c>
      <c r="K9" s="33">
        <v>22634.1</v>
      </c>
      <c r="L9" s="32">
        <v>0</v>
      </c>
      <c r="M9" s="33">
        <v>0</v>
      </c>
      <c r="N9" s="35">
        <v>0</v>
      </c>
      <c r="O9" s="33">
        <v>11180.33</v>
      </c>
      <c r="P9" s="110">
        <f>+O9+K9+I9+G9+E9+C9</f>
        <v>492453.58999999997</v>
      </c>
      <c r="Q9" s="141">
        <f>+B9+D9+F9+H9+J9+N9-P9</f>
        <v>213300.41000000003</v>
      </c>
      <c r="R9" s="5"/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41"/>
    </row>
    <row r="11" spans="1:18" ht="17.25">
      <c r="A11" s="109" t="s">
        <v>100</v>
      </c>
      <c r="B11" s="32">
        <v>679098</v>
      </c>
      <c r="C11" s="33">
        <f>26023.92+860821.88</f>
        <v>886845.8</v>
      </c>
      <c r="D11" s="32">
        <f>15510+100000</f>
        <v>115510</v>
      </c>
      <c r="E11" s="33">
        <f>1107.85+20487.32</f>
        <v>21595.17</v>
      </c>
      <c r="F11" s="32">
        <f>198985+100000</f>
        <v>298985</v>
      </c>
      <c r="G11" s="33">
        <f>13692.73+378884.02</f>
        <v>392576.75</v>
      </c>
      <c r="H11" s="32">
        <v>89447</v>
      </c>
      <c r="I11" s="33">
        <v>277654.51</v>
      </c>
      <c r="J11" s="32">
        <v>0</v>
      </c>
      <c r="K11" s="33">
        <v>2263.47</v>
      </c>
      <c r="L11" s="32">
        <v>0</v>
      </c>
      <c r="M11" s="37">
        <v>10400</v>
      </c>
      <c r="N11" s="32">
        <v>0</v>
      </c>
      <c r="O11" s="33">
        <v>28407.23</v>
      </c>
      <c r="P11" s="110">
        <f>+O11+K11+I11+G11+E11+C11+M11</f>
        <v>1619742.9300000002</v>
      </c>
      <c r="Q11" s="141">
        <f>+B11+D11+F11+H11+J11+N11-P11+L11</f>
        <v>-436702.93000000017</v>
      </c>
      <c r="R11" s="5"/>
    </row>
    <row r="12" spans="1:18" ht="18" thickBot="1">
      <c r="A12" s="120" t="s">
        <v>11</v>
      </c>
      <c r="B12" s="115">
        <f>SUM(B7:B11)</f>
        <v>1278478</v>
      </c>
      <c r="C12" s="116">
        <f>SUM(C7:C11)</f>
        <v>1488994.02</v>
      </c>
      <c r="D12" s="115">
        <f>SUM(D7:D11)</f>
        <v>187810</v>
      </c>
      <c r="E12" s="116">
        <f>SUM(E7:E11)</f>
        <v>70021.06999999999</v>
      </c>
      <c r="F12" s="115">
        <f aca="true" t="shared" si="0" ref="B12:K12">SUM(F7:F11)</f>
        <v>1347949</v>
      </c>
      <c r="G12" s="116">
        <f t="shared" si="0"/>
        <v>1230466.83</v>
      </c>
      <c r="H12" s="115">
        <f t="shared" si="0"/>
        <v>835398</v>
      </c>
      <c r="I12" s="116">
        <f t="shared" si="0"/>
        <v>1454368.3700000003</v>
      </c>
      <c r="J12" s="115">
        <f t="shared" si="0"/>
        <v>200000</v>
      </c>
      <c r="K12" s="116">
        <f t="shared" si="0"/>
        <v>82452.88</v>
      </c>
      <c r="L12" s="115">
        <f aca="true" t="shared" si="1" ref="L12:Q12">SUM(L7:L11)</f>
        <v>0</v>
      </c>
      <c r="M12" s="117">
        <f t="shared" si="1"/>
        <v>12219.46</v>
      </c>
      <c r="N12" s="115">
        <f t="shared" si="1"/>
        <v>150000</v>
      </c>
      <c r="O12" s="116">
        <f t="shared" si="1"/>
        <v>146957.39000000004</v>
      </c>
      <c r="P12" s="111">
        <f t="shared" si="1"/>
        <v>4485480.0200000005</v>
      </c>
      <c r="Q12" s="142">
        <f t="shared" si="1"/>
        <v>-485845.0200000006</v>
      </c>
      <c r="R12" s="5"/>
    </row>
    <row r="13" spans="1:17" ht="18.75" thickBot="1" thickTop="1">
      <c r="A13" s="121" t="s">
        <v>31</v>
      </c>
      <c r="B13" s="112"/>
      <c r="C13" s="147">
        <f>+C12/B12</f>
        <v>1.1646614333606053</v>
      </c>
      <c r="D13" s="113"/>
      <c r="E13" s="147">
        <f>+E12/D12</f>
        <v>0.3728292955646664</v>
      </c>
      <c r="F13" s="113"/>
      <c r="G13" s="147">
        <f>+G12/F12</f>
        <v>0.9128437574418617</v>
      </c>
      <c r="H13" s="113"/>
      <c r="I13" s="147">
        <f>+I12/H12</f>
        <v>1.7409287190057916</v>
      </c>
      <c r="J13" s="113"/>
      <c r="K13" s="148">
        <f>+K12/J12</f>
        <v>0.41226440000000003</v>
      </c>
      <c r="L13" s="146"/>
      <c r="M13" s="148"/>
      <c r="N13" s="114"/>
      <c r="O13" s="149">
        <f>+O12/N12</f>
        <v>0.9797159333333336</v>
      </c>
      <c r="P13" s="48"/>
      <c r="Q13" s="5"/>
    </row>
    <row r="14" spans="1:17" ht="17.25" thickTop="1">
      <c r="A14" s="49"/>
      <c r="B14" s="50"/>
      <c r="C14" s="50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86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27</v>
      </c>
      <c r="B46" s="54" t="s">
        <v>28</v>
      </c>
      <c r="C46" s="21" t="s">
        <v>29</v>
      </c>
    </row>
    <row r="47" spans="1:3" ht="17.25">
      <c r="A47" s="55">
        <f>+B12</f>
        <v>1278478</v>
      </c>
      <c r="B47" s="52">
        <f>+C12</f>
        <v>1488994.02</v>
      </c>
      <c r="C47" s="21" t="s">
        <v>1</v>
      </c>
    </row>
    <row r="48" spans="1:3" ht="17.25">
      <c r="A48" s="55">
        <f>+D12</f>
        <v>187810</v>
      </c>
      <c r="B48" s="52">
        <f>+E12</f>
        <v>70021.06999999999</v>
      </c>
      <c r="C48" s="21" t="s">
        <v>2</v>
      </c>
    </row>
    <row r="49" spans="1:3" ht="17.25">
      <c r="A49" s="55">
        <f>+F12</f>
        <v>1347949</v>
      </c>
      <c r="B49" s="52">
        <f>+G12</f>
        <v>1230466.83</v>
      </c>
      <c r="C49" s="21" t="s">
        <v>3</v>
      </c>
    </row>
    <row r="50" spans="1:3" ht="17.25">
      <c r="A50" s="55">
        <f>+H12</f>
        <v>835398</v>
      </c>
      <c r="B50" s="52">
        <f>+I12</f>
        <v>1454368.3700000003</v>
      </c>
      <c r="C50" s="21" t="s">
        <v>35</v>
      </c>
    </row>
    <row r="51" spans="1:3" ht="17.25">
      <c r="A51" s="55">
        <f>+J12</f>
        <v>200000</v>
      </c>
      <c r="B51" s="52">
        <f>+K12</f>
        <v>82452.88</v>
      </c>
      <c r="C51" s="21" t="s">
        <v>33</v>
      </c>
    </row>
    <row r="52" spans="1:3" ht="17.25">
      <c r="A52" s="55">
        <f>+L12</f>
        <v>0</v>
      </c>
      <c r="B52" s="52">
        <f>+M12</f>
        <v>12219.46</v>
      </c>
      <c r="C52" s="21" t="s">
        <v>97</v>
      </c>
    </row>
    <row r="53" spans="1:3" ht="17.25">
      <c r="A53" s="55">
        <f>+N12</f>
        <v>150000</v>
      </c>
      <c r="B53" s="52">
        <f>+O12</f>
        <v>146957.39000000004</v>
      </c>
      <c r="C53" s="21" t="s">
        <v>36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1"/>
  <sheetViews>
    <sheetView workbookViewId="0" topLeftCell="I3">
      <selection activeCell="R6" sqref="R6"/>
    </sheetView>
  </sheetViews>
  <sheetFormatPr defaultColWidth="11.421875" defaultRowHeight="15"/>
  <cols>
    <col min="1" max="1" width="19.57421875" style="1" customWidth="1"/>
    <col min="2" max="2" width="9.28125" style="1" customWidth="1"/>
    <col min="3" max="3" width="12.00390625" style="1" customWidth="1"/>
    <col min="4" max="4" width="7.140625" style="1" customWidth="1"/>
    <col min="5" max="5" width="9.7109375" style="1" customWidth="1"/>
    <col min="6" max="6" width="9.421875" style="1" customWidth="1"/>
    <col min="7" max="7" width="12.00390625" style="1" customWidth="1"/>
    <col min="8" max="8" width="7.7109375" style="1" customWidth="1"/>
    <col min="9" max="9" width="10.8515625" style="1" customWidth="1"/>
    <col min="10" max="10" width="6.8515625" style="1" customWidth="1"/>
    <col min="11" max="11" width="9.7109375" style="1" customWidth="1"/>
    <col min="12" max="12" width="6.8515625" style="1" customWidth="1"/>
    <col min="13" max="13" width="10.00390625" style="1" customWidth="1"/>
    <col min="14" max="14" width="7.140625" style="1" customWidth="1"/>
    <col min="15" max="15" width="10.28125" style="1" customWidth="1"/>
    <col min="16" max="16" width="12.57421875" style="1" customWidth="1"/>
    <col min="17" max="17" width="10.851562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121</v>
      </c>
      <c r="C2" s="179"/>
      <c r="D2" s="179"/>
      <c r="E2" s="180"/>
      <c r="F2" s="180"/>
      <c r="K2" s="181" t="s">
        <v>24</v>
      </c>
      <c r="L2" s="181"/>
      <c r="M2" s="157">
        <v>40513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126</v>
      </c>
      <c r="B7" s="32">
        <v>1172185</v>
      </c>
      <c r="C7" s="33">
        <f>204749.28+680005.46</f>
        <v>884754.74</v>
      </c>
      <c r="D7" s="32">
        <v>15182</v>
      </c>
      <c r="E7" s="33">
        <v>33920.04</v>
      </c>
      <c r="F7" s="32">
        <f>322819+270000+30000+200000+200000</f>
        <v>1022819</v>
      </c>
      <c r="G7" s="33">
        <f>5681+1028145.99</f>
        <v>1033826.99</v>
      </c>
      <c r="H7" s="32">
        <f>20000+80000+100000+130000+150000+80000</f>
        <v>560000</v>
      </c>
      <c r="I7" s="33">
        <f>16964.15+536496.67</f>
        <v>553460.8200000001</v>
      </c>
      <c r="J7" s="32">
        <v>0</v>
      </c>
      <c r="K7" s="33">
        <v>38812</v>
      </c>
      <c r="L7" s="32">
        <v>0</v>
      </c>
      <c r="M7" s="37">
        <v>44853.29</v>
      </c>
      <c r="N7" s="32">
        <v>80000</v>
      </c>
      <c r="O7" s="33">
        <v>93415.43</v>
      </c>
      <c r="P7" s="34">
        <f>+C7+E7+G7+I7+K7+O7+M7</f>
        <v>2683043.31</v>
      </c>
      <c r="Q7" s="34">
        <f>+B7+D7+F7+H7+J7+N7+L7-P7</f>
        <v>167142.68999999994</v>
      </c>
      <c r="R7" s="5"/>
    </row>
    <row r="8" spans="1:18" ht="17.25">
      <c r="A8" s="31" t="s">
        <v>94</v>
      </c>
      <c r="B8" s="32">
        <v>21472</v>
      </c>
      <c r="C8" s="33">
        <f>10229.49+20655.13</f>
        <v>30884.620000000003</v>
      </c>
      <c r="D8" s="32">
        <v>1400</v>
      </c>
      <c r="E8" s="33">
        <v>3846.8</v>
      </c>
      <c r="F8" s="32">
        <v>7370</v>
      </c>
      <c r="G8" s="33">
        <v>6346.52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0</v>
      </c>
      <c r="P8" s="34">
        <f aca="true" t="shared" si="0" ref="P8:P15">+C8+E8+G8+I8+K8+O8</f>
        <v>41077.94</v>
      </c>
      <c r="Q8" s="34">
        <f aca="true" t="shared" si="1" ref="Q8:Q15">+B8+D8+F8+H8+J8+N8-P8</f>
        <v>-10835.940000000002</v>
      </c>
      <c r="R8" s="5"/>
    </row>
    <row r="9" spans="1:18" ht="17.25">
      <c r="A9" s="31" t="s">
        <v>93</v>
      </c>
      <c r="B9" s="32">
        <v>227241</v>
      </c>
      <c r="C9" s="33">
        <f>60290.49+171252.45</f>
        <v>231542.94</v>
      </c>
      <c r="D9" s="32">
        <v>18971</v>
      </c>
      <c r="E9" s="33">
        <v>6109.6</v>
      </c>
      <c r="F9" s="32">
        <v>190000</v>
      </c>
      <c r="G9" s="33">
        <v>133656.24</v>
      </c>
      <c r="H9" s="32">
        <v>0</v>
      </c>
      <c r="I9" s="33">
        <v>0</v>
      </c>
      <c r="J9" s="32">
        <v>15150</v>
      </c>
      <c r="K9" s="33">
        <v>1127.93</v>
      </c>
      <c r="L9" s="32">
        <v>0</v>
      </c>
      <c r="M9" s="37">
        <v>0</v>
      </c>
      <c r="N9" s="32">
        <v>0</v>
      </c>
      <c r="O9" s="33">
        <v>3176.27</v>
      </c>
      <c r="P9" s="34">
        <f t="shared" si="0"/>
        <v>375612.98000000004</v>
      </c>
      <c r="Q9" s="34">
        <f t="shared" si="1"/>
        <v>75749.01999999996</v>
      </c>
      <c r="R9" s="5"/>
    </row>
    <row r="10" spans="1:18" ht="17.25">
      <c r="A10" s="31" t="s">
        <v>132</v>
      </c>
      <c r="B10" s="32">
        <v>39252</v>
      </c>
      <c r="C10" s="33">
        <f>11987.72+25290.48</f>
        <v>37278.2</v>
      </c>
      <c r="D10" s="32">
        <v>700</v>
      </c>
      <c r="E10" s="33">
        <v>0</v>
      </c>
      <c r="F10" s="32">
        <v>31930</v>
      </c>
      <c r="G10" s="33">
        <v>4493.42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 t="shared" si="0"/>
        <v>41771.619999999995</v>
      </c>
      <c r="Q10" s="34">
        <f t="shared" si="1"/>
        <v>30110.380000000005</v>
      </c>
      <c r="R10" s="5"/>
    </row>
    <row r="11" spans="1:18" ht="17.25">
      <c r="A11" s="31" t="s">
        <v>133</v>
      </c>
      <c r="B11" s="32">
        <v>65332</v>
      </c>
      <c r="C11" s="33">
        <f>20425.65+49386.12</f>
        <v>69811.77</v>
      </c>
      <c r="D11" s="32">
        <v>4700</v>
      </c>
      <c r="E11" s="33">
        <v>3648.99</v>
      </c>
      <c r="F11" s="32">
        <v>93400</v>
      </c>
      <c r="G11" s="33">
        <v>46986.01</v>
      </c>
      <c r="H11" s="32">
        <v>0</v>
      </c>
      <c r="I11" s="33">
        <v>0</v>
      </c>
      <c r="J11" s="32">
        <v>0</v>
      </c>
      <c r="K11" s="33">
        <v>199.4</v>
      </c>
      <c r="L11" s="32">
        <v>0</v>
      </c>
      <c r="M11" s="37">
        <v>117</v>
      </c>
      <c r="N11" s="32">
        <v>0</v>
      </c>
      <c r="O11" s="33">
        <v>0</v>
      </c>
      <c r="P11" s="34">
        <f>+C11+E11+G11+I11+K11+O11+M11</f>
        <v>120763.17000000001</v>
      </c>
      <c r="Q11" s="34">
        <f t="shared" si="1"/>
        <v>42668.82999999999</v>
      </c>
      <c r="R11" s="5"/>
    </row>
    <row r="12" spans="1:18" ht="17.25">
      <c r="A12" s="31" t="s">
        <v>134</v>
      </c>
      <c r="B12" s="32">
        <v>0</v>
      </c>
      <c r="C12" s="33">
        <v>0</v>
      </c>
      <c r="D12" s="32">
        <v>0</v>
      </c>
      <c r="E12" s="33">
        <v>0</v>
      </c>
      <c r="F12" s="32">
        <v>0</v>
      </c>
      <c r="G12" s="33">
        <v>14976.84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0</v>
      </c>
      <c r="P12" s="34">
        <f t="shared" si="0"/>
        <v>14976.84</v>
      </c>
      <c r="Q12" s="34">
        <f t="shared" si="1"/>
        <v>-14976.84</v>
      </c>
      <c r="R12" s="5"/>
    </row>
    <row r="13" spans="1:18" ht="17.25">
      <c r="A13" s="31" t="s">
        <v>135</v>
      </c>
      <c r="B13" s="32">
        <v>201536</v>
      </c>
      <c r="C13" s="33">
        <f>30215.67+76429.27</f>
        <v>106644.94</v>
      </c>
      <c r="D13" s="32">
        <v>0</v>
      </c>
      <c r="E13" s="33">
        <v>218</v>
      </c>
      <c r="F13" s="32">
        <v>0</v>
      </c>
      <c r="G13" s="33">
        <v>1037.82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1908.66</v>
      </c>
      <c r="P13" s="34">
        <f t="shared" si="0"/>
        <v>109809.42000000001</v>
      </c>
      <c r="Q13" s="34">
        <f t="shared" si="1"/>
        <v>91726.57999999999</v>
      </c>
      <c r="R13" s="5"/>
    </row>
    <row r="14" spans="1:18" ht="17.25">
      <c r="A14" s="31" t="s">
        <v>136</v>
      </c>
      <c r="B14" s="32">
        <v>118474</v>
      </c>
      <c r="C14" s="33">
        <f>30933.32+84419.45</f>
        <v>115352.76999999999</v>
      </c>
      <c r="D14" s="32">
        <v>0</v>
      </c>
      <c r="E14" s="33">
        <v>0</v>
      </c>
      <c r="F14" s="32">
        <v>12000</v>
      </c>
      <c r="G14" s="33">
        <v>13383.42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1770.21</v>
      </c>
      <c r="P14" s="34">
        <f t="shared" si="0"/>
        <v>130506.4</v>
      </c>
      <c r="Q14" s="34">
        <f t="shared" si="1"/>
        <v>-32.39999999999418</v>
      </c>
      <c r="R14" s="5"/>
    </row>
    <row r="15" spans="1:18" ht="17.25">
      <c r="A15" s="31" t="s">
        <v>137</v>
      </c>
      <c r="B15" s="32">
        <v>0</v>
      </c>
      <c r="C15" s="33">
        <v>0</v>
      </c>
      <c r="D15" s="32">
        <v>3500</v>
      </c>
      <c r="E15" s="33">
        <v>0</v>
      </c>
      <c r="F15" s="32">
        <v>27800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0</v>
      </c>
      <c r="P15" s="34">
        <f t="shared" si="0"/>
        <v>0</v>
      </c>
      <c r="Q15" s="34">
        <f t="shared" si="1"/>
        <v>31300</v>
      </c>
      <c r="R15" s="5"/>
    </row>
    <row r="16" spans="1:18" ht="17.25">
      <c r="A16" s="31" t="s">
        <v>127</v>
      </c>
      <c r="B16" s="32">
        <v>0</v>
      </c>
      <c r="C16" s="33">
        <f>14018.13+31926.85</f>
        <v>45944.979999999996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7">
        <v>0</v>
      </c>
      <c r="N16" s="32">
        <v>0</v>
      </c>
      <c r="O16" s="33">
        <v>0</v>
      </c>
      <c r="P16" s="34">
        <f>+C16+E16+G16+I16+K16+O16</f>
        <v>45944.979999999996</v>
      </c>
      <c r="Q16" s="34">
        <f>+B16+D16+F16+H16+J16+N16-P16</f>
        <v>-45944.979999999996</v>
      </c>
      <c r="R16" s="5"/>
    </row>
    <row r="17" spans="1:18" ht="18" thickBot="1">
      <c r="A17" s="38" t="s">
        <v>11</v>
      </c>
      <c r="B17" s="39">
        <f aca="true" t="shared" si="2" ref="B17:Q17">SUM(B7:B16)</f>
        <v>1845492</v>
      </c>
      <c r="C17" s="40">
        <f t="shared" si="2"/>
        <v>1522214.96</v>
      </c>
      <c r="D17" s="39">
        <f t="shared" si="2"/>
        <v>44453</v>
      </c>
      <c r="E17" s="40">
        <f t="shared" si="2"/>
        <v>47743.43</v>
      </c>
      <c r="F17" s="39">
        <f t="shared" si="2"/>
        <v>1385319</v>
      </c>
      <c r="G17" s="40">
        <f t="shared" si="2"/>
        <v>1254707.26</v>
      </c>
      <c r="H17" s="39">
        <f t="shared" si="2"/>
        <v>560000</v>
      </c>
      <c r="I17" s="40">
        <f t="shared" si="2"/>
        <v>553460.8200000001</v>
      </c>
      <c r="J17" s="39">
        <f t="shared" si="2"/>
        <v>15150</v>
      </c>
      <c r="K17" s="40">
        <f t="shared" si="2"/>
        <v>40139.33</v>
      </c>
      <c r="L17" s="39">
        <f t="shared" si="2"/>
        <v>0</v>
      </c>
      <c r="M17" s="40">
        <f t="shared" si="2"/>
        <v>44970.29</v>
      </c>
      <c r="N17" s="39">
        <f t="shared" si="2"/>
        <v>80000</v>
      </c>
      <c r="O17" s="40">
        <f t="shared" si="2"/>
        <v>100270.57</v>
      </c>
      <c r="P17" s="42">
        <f t="shared" si="2"/>
        <v>3563506.6599999997</v>
      </c>
      <c r="Q17" s="42">
        <f t="shared" si="2"/>
        <v>366907.33999999985</v>
      </c>
      <c r="R17" s="5"/>
    </row>
    <row r="18" spans="1:17" ht="17.25" thickBot="1">
      <c r="A18" s="43" t="s">
        <v>31</v>
      </c>
      <c r="B18" s="44"/>
      <c r="C18" s="143">
        <f>+C17/B17</f>
        <v>0.8248288044597322</v>
      </c>
      <c r="D18" s="143"/>
      <c r="E18" s="143">
        <f>+E17/D17</f>
        <v>1.074020426067982</v>
      </c>
      <c r="F18" s="143"/>
      <c r="G18" s="143">
        <f>+G17/F17</f>
        <v>0.9057172102598752</v>
      </c>
      <c r="H18" s="143"/>
      <c r="I18" s="143">
        <f>+I17/H17</f>
        <v>0.9883228928571429</v>
      </c>
      <c r="J18" s="143"/>
      <c r="K18" s="143">
        <f>+K17/J17</f>
        <v>2.6494607260726073</v>
      </c>
      <c r="L18" s="151"/>
      <c r="M18" s="143"/>
      <c r="N18" s="156"/>
      <c r="O18" s="145">
        <f>+O17/N17</f>
        <v>1.2533821250000001</v>
      </c>
      <c r="P18" s="58"/>
      <c r="Q18" s="5"/>
    </row>
    <row r="19" spans="1:17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144"/>
      <c r="Q19" s="5"/>
    </row>
    <row r="20" spans="1:16" ht="16.5">
      <c r="A20" s="49"/>
      <c r="B20" s="4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37" spans="5:8" ht="16.5">
      <c r="E37" s="59"/>
      <c r="F37" s="59"/>
      <c r="G37" s="60"/>
      <c r="H37" s="60"/>
    </row>
    <row r="38" spans="5:8" ht="16.5">
      <c r="E38" s="61"/>
      <c r="F38" s="61"/>
      <c r="G38" s="61"/>
      <c r="H38" s="61"/>
    </row>
    <row r="43" spans="1:6" ht="16.5">
      <c r="A43" s="53"/>
      <c r="B43" s="53"/>
      <c r="C43" s="53"/>
      <c r="D43" s="53"/>
      <c r="E43" s="53"/>
      <c r="F43" s="53"/>
    </row>
    <row r="44" ht="16.5">
      <c r="C44" s="48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0" spans="3:6" ht="16.5">
      <c r="C50" s="52"/>
      <c r="D50" s="5"/>
      <c r="E50" s="53"/>
      <c r="F50" s="53"/>
    </row>
    <row r="52" spans="1:5" ht="16.5">
      <c r="A52" s="62" t="s">
        <v>27</v>
      </c>
      <c r="B52" s="62" t="s">
        <v>28</v>
      </c>
      <c r="C52" s="62" t="s">
        <v>29</v>
      </c>
      <c r="D52" s="62"/>
      <c r="E52" s="63"/>
    </row>
    <row r="53" spans="1:3" ht="17.25">
      <c r="A53" s="64">
        <f>+B17</f>
        <v>1845492</v>
      </c>
      <c r="B53" s="65">
        <f>+C17</f>
        <v>1522214.96</v>
      </c>
      <c r="C53" s="62" t="s">
        <v>1</v>
      </c>
    </row>
    <row r="54" spans="1:3" ht="17.25">
      <c r="A54" s="64">
        <f>+D17</f>
        <v>44453</v>
      </c>
      <c r="B54" s="65">
        <f>+E17</f>
        <v>47743.43</v>
      </c>
      <c r="C54" s="62" t="s">
        <v>2</v>
      </c>
    </row>
    <row r="55" spans="1:3" ht="17.25">
      <c r="A55" s="64">
        <f>+F17</f>
        <v>1385319</v>
      </c>
      <c r="B55" s="65">
        <f>+G17</f>
        <v>1254707.26</v>
      </c>
      <c r="C55" s="62" t="s">
        <v>3</v>
      </c>
    </row>
    <row r="56" spans="1:3" ht="17.25">
      <c r="A56" s="64">
        <f>+H17</f>
        <v>560000</v>
      </c>
      <c r="B56" s="65">
        <f>+I17</f>
        <v>553460.8200000001</v>
      </c>
      <c r="C56" s="62" t="s">
        <v>35</v>
      </c>
    </row>
    <row r="57" spans="1:3" ht="17.25">
      <c r="A57" s="64">
        <f>+J17</f>
        <v>15150</v>
      </c>
      <c r="B57" s="65">
        <f>+K17</f>
        <v>40139.33</v>
      </c>
      <c r="C57" s="62" t="s">
        <v>33</v>
      </c>
    </row>
    <row r="58" spans="1:3" ht="17.25">
      <c r="A58" s="66">
        <f>+L17</f>
        <v>0</v>
      </c>
      <c r="B58" s="65">
        <f>+M17</f>
        <v>44970.29</v>
      </c>
      <c r="C58" s="62" t="s">
        <v>102</v>
      </c>
    </row>
    <row r="59" spans="1:3" ht="17.25">
      <c r="A59" s="64">
        <f>+N17</f>
        <v>80000</v>
      </c>
      <c r="B59" s="65">
        <f>+O17</f>
        <v>100270.57</v>
      </c>
      <c r="C59" s="62" t="s">
        <v>36</v>
      </c>
    </row>
    <row r="60" spans="1:3" ht="17.25">
      <c r="A60" s="64"/>
      <c r="B60" s="64"/>
      <c r="C60" s="62"/>
    </row>
    <row r="61" spans="1:2" ht="16.5">
      <c r="A61" s="1">
        <v>2809993</v>
      </c>
      <c r="B61" s="5">
        <v>749308.3</v>
      </c>
    </row>
  </sheetData>
  <mergeCells count="10">
    <mergeCell ref="B2:F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46" bottom="0.4330708661417323" header="0" footer="0"/>
  <pageSetup horizontalDpi="600" verticalDpi="600" orientation="landscape" paperSize="5" r:id="rId2"/>
  <headerFooter alignWithMargins="0">
    <oddHeader>&amp;RCONTADURIA MUNICIPAL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4">
      <selection activeCell="A11" sqref="A11"/>
    </sheetView>
  </sheetViews>
  <sheetFormatPr defaultColWidth="11.421875" defaultRowHeight="15"/>
  <cols>
    <col min="1" max="1" width="22.8515625" style="1" customWidth="1"/>
    <col min="2" max="2" width="9.140625" style="1" customWidth="1"/>
    <col min="3" max="3" width="12.140625" style="1" customWidth="1"/>
    <col min="4" max="4" width="6.8515625" style="1" customWidth="1"/>
    <col min="5" max="6" width="9.28125" style="1" customWidth="1"/>
    <col min="7" max="7" width="12.421875" style="1" customWidth="1"/>
    <col min="8" max="8" width="7.421875" style="1" customWidth="1"/>
    <col min="9" max="9" width="10.421875" style="1" customWidth="1"/>
    <col min="10" max="10" width="7.57421875" style="1" customWidth="1"/>
    <col min="11" max="11" width="9.28125" style="1" customWidth="1"/>
    <col min="12" max="12" width="6.7109375" style="1" customWidth="1"/>
    <col min="13" max="13" width="9.57421875" style="1" customWidth="1"/>
    <col min="14" max="14" width="6.57421875" style="1" customWidth="1"/>
    <col min="15" max="15" width="9.28125" style="1" customWidth="1"/>
    <col min="16" max="16" width="12.00390625" style="1" customWidth="1"/>
    <col min="17" max="17" width="10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122</v>
      </c>
      <c r="C2" s="179"/>
      <c r="D2" s="179"/>
      <c r="E2" s="180"/>
      <c r="F2" s="180"/>
      <c r="K2" s="182" t="s">
        <v>24</v>
      </c>
      <c r="L2" s="162"/>
      <c r="M2" s="157">
        <v>40513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128</v>
      </c>
      <c r="B7" s="32">
        <v>975896</v>
      </c>
      <c r="C7" s="33">
        <f>271083.23+787690.24</f>
        <v>1058773.47</v>
      </c>
      <c r="D7" s="32">
        <v>34006</v>
      </c>
      <c r="E7" s="33">
        <v>37166.24</v>
      </c>
      <c r="F7" s="32">
        <f>682296+270000+200000+100000</f>
        <v>1252296</v>
      </c>
      <c r="G7" s="33">
        <f>3080.34+1201989.48</f>
        <v>1205069.82</v>
      </c>
      <c r="H7" s="32">
        <f>730000+60000+81500+80000</f>
        <v>951500</v>
      </c>
      <c r="I7" s="33">
        <f>30263.13+816741.47</f>
        <v>847004.6</v>
      </c>
      <c r="J7" s="32">
        <f>6000+111000</f>
        <v>117000</v>
      </c>
      <c r="K7" s="33">
        <v>12438.5</v>
      </c>
      <c r="L7" s="32">
        <v>8000</v>
      </c>
      <c r="M7" s="37">
        <v>53826.46</v>
      </c>
      <c r="N7" s="32">
        <v>35000</v>
      </c>
      <c r="O7" s="33">
        <v>73428.6</v>
      </c>
      <c r="P7" s="34">
        <f>+C7+E7+G7+I7+K7+O7+M7</f>
        <v>3287707.6900000004</v>
      </c>
      <c r="Q7" s="34">
        <f>+B7+D7+F7+H7+J7+N7+L7-P7</f>
        <v>85990.30999999959</v>
      </c>
      <c r="R7" s="5"/>
    </row>
    <row r="8" spans="1:18" ht="17.25">
      <c r="A8" s="31" t="s">
        <v>129</v>
      </c>
      <c r="B8" s="32">
        <v>132057</v>
      </c>
      <c r="C8" s="33">
        <f>52047.16+113229.31</f>
        <v>165276.47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1579.64</v>
      </c>
      <c r="P8" s="34">
        <f>+C8+E8+G8+I8+K8+O8</f>
        <v>166856.11000000002</v>
      </c>
      <c r="Q8" s="34">
        <f>+B8+D8+F8+H8+J8+N8-P8</f>
        <v>-34799.110000000015</v>
      </c>
      <c r="R8" s="5"/>
    </row>
    <row r="9" spans="1:18" ht="17.25">
      <c r="A9" s="31" t="s">
        <v>130</v>
      </c>
      <c r="B9" s="32">
        <v>100595</v>
      </c>
      <c r="C9" s="33">
        <f>30979.23+73683.45</f>
        <v>104662.68</v>
      </c>
      <c r="D9" s="35">
        <v>0</v>
      </c>
      <c r="E9" s="33">
        <v>0</v>
      </c>
      <c r="F9" s="32">
        <v>0</v>
      </c>
      <c r="G9" s="33">
        <v>11983</v>
      </c>
      <c r="H9" s="32">
        <v>0</v>
      </c>
      <c r="I9" s="33">
        <v>0</v>
      </c>
      <c r="J9" s="35">
        <v>0</v>
      </c>
      <c r="K9" s="33">
        <v>0</v>
      </c>
      <c r="L9" s="32">
        <v>0</v>
      </c>
      <c r="M9" s="37">
        <v>0</v>
      </c>
      <c r="N9" s="32">
        <v>0</v>
      </c>
      <c r="O9" s="33">
        <v>0</v>
      </c>
      <c r="P9" s="34">
        <f>+C9+E9+G9+I9+K9+O9</f>
        <v>116645.68</v>
      </c>
      <c r="Q9" s="34">
        <f>+B9+D9+F9+H9+J9+N9-P9</f>
        <v>-16050.679999999993</v>
      </c>
      <c r="R9" s="5"/>
    </row>
    <row r="10" spans="1:18" ht="9" customHeight="1">
      <c r="A10" s="31"/>
      <c r="B10" s="32"/>
      <c r="C10" s="33"/>
      <c r="D10" s="35"/>
      <c r="E10" s="33"/>
      <c r="F10" s="32"/>
      <c r="G10" s="33"/>
      <c r="H10" s="32"/>
      <c r="I10" s="33"/>
      <c r="J10" s="35"/>
      <c r="K10" s="33"/>
      <c r="L10" s="37"/>
      <c r="M10" s="37"/>
      <c r="N10" s="32"/>
      <c r="O10" s="33"/>
      <c r="P10" s="34"/>
      <c r="Q10" s="34"/>
      <c r="R10" s="5"/>
    </row>
    <row r="11" spans="1:18" ht="18" thickBot="1">
      <c r="A11" s="38" t="s">
        <v>11</v>
      </c>
      <c r="B11" s="39">
        <f aca="true" t="shared" si="0" ref="B11:Q11">SUM(B7:B10)</f>
        <v>1208548</v>
      </c>
      <c r="C11" s="40">
        <f t="shared" si="0"/>
        <v>1328712.6199999999</v>
      </c>
      <c r="D11" s="39">
        <f t="shared" si="0"/>
        <v>34006</v>
      </c>
      <c r="E11" s="40">
        <f t="shared" si="0"/>
        <v>37166.24</v>
      </c>
      <c r="F11" s="39">
        <f t="shared" si="0"/>
        <v>1252296</v>
      </c>
      <c r="G11" s="40">
        <f t="shared" si="0"/>
        <v>1217052.82</v>
      </c>
      <c r="H11" s="39">
        <f t="shared" si="0"/>
        <v>951500</v>
      </c>
      <c r="I11" s="40">
        <f t="shared" si="0"/>
        <v>847004.6</v>
      </c>
      <c r="J11" s="39">
        <f t="shared" si="0"/>
        <v>117000</v>
      </c>
      <c r="K11" s="40">
        <f t="shared" si="0"/>
        <v>12438.5</v>
      </c>
      <c r="L11" s="39">
        <f t="shared" si="0"/>
        <v>8000</v>
      </c>
      <c r="M11" s="40">
        <f t="shared" si="0"/>
        <v>53826.46</v>
      </c>
      <c r="N11" s="39">
        <f t="shared" si="0"/>
        <v>35000</v>
      </c>
      <c r="O11" s="40">
        <f t="shared" si="0"/>
        <v>75008.24</v>
      </c>
      <c r="P11" s="42">
        <f t="shared" si="0"/>
        <v>3571209.4800000004</v>
      </c>
      <c r="Q11" s="42">
        <f t="shared" si="0"/>
        <v>35140.51999999958</v>
      </c>
      <c r="R11" s="5"/>
    </row>
    <row r="12" spans="1:17" ht="17.25" thickBot="1">
      <c r="A12" s="43" t="s">
        <v>31</v>
      </c>
      <c r="B12" s="44"/>
      <c r="C12" s="143">
        <f>+C11/B11</f>
        <v>1.099428918007394</v>
      </c>
      <c r="D12" s="143"/>
      <c r="E12" s="143">
        <f>+E11/D11</f>
        <v>1.0929318355584308</v>
      </c>
      <c r="F12" s="143"/>
      <c r="G12" s="143">
        <f>+G11/F11</f>
        <v>0.9718571487891042</v>
      </c>
      <c r="H12" s="45"/>
      <c r="I12" s="143">
        <f>+I11/H11</f>
        <v>0.8901782448765108</v>
      </c>
      <c r="J12" s="45"/>
      <c r="K12" s="45">
        <f>+K11/J11</f>
        <v>0.10631196581196581</v>
      </c>
      <c r="L12" s="47"/>
      <c r="M12" s="151">
        <f>+M11/L11</f>
        <v>6.7283075</v>
      </c>
      <c r="N12" s="45"/>
      <c r="O12" s="145">
        <f>+O11/N11</f>
        <v>2.143092571428572</v>
      </c>
      <c r="P12" s="58"/>
      <c r="Q12" s="5"/>
    </row>
    <row r="13" spans="1:17" ht="16.5">
      <c r="A13" s="49"/>
      <c r="B13" s="4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44"/>
      <c r="Q13" s="5"/>
    </row>
    <row r="14" spans="1:16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31" spans="5:8" ht="16.5">
      <c r="E31" s="59"/>
      <c r="F31" s="59"/>
      <c r="G31" s="60"/>
      <c r="H31" s="60"/>
    </row>
    <row r="32" spans="5:8" ht="16.5">
      <c r="E32" s="61"/>
      <c r="F32" s="61"/>
      <c r="G32" s="61"/>
      <c r="H32" s="61"/>
    </row>
    <row r="37" spans="1:6" ht="16.5">
      <c r="A37" s="53"/>
      <c r="B37" s="53"/>
      <c r="C37" s="53"/>
      <c r="D37" s="53"/>
      <c r="E37" s="53"/>
      <c r="F37" s="53"/>
    </row>
    <row r="38" ht="16.5">
      <c r="C38" s="48"/>
    </row>
    <row r="39" spans="3:6" ht="16.5">
      <c r="C39" s="52"/>
      <c r="D39" s="5"/>
      <c r="E39" s="53"/>
      <c r="F39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6" spans="1:5" ht="16.5">
      <c r="A46" s="62" t="s">
        <v>27</v>
      </c>
      <c r="B46" s="62" t="s">
        <v>28</v>
      </c>
      <c r="C46" s="62" t="s">
        <v>29</v>
      </c>
      <c r="D46" s="62"/>
      <c r="E46" s="63"/>
    </row>
    <row r="47" spans="1:3" ht="17.25">
      <c r="A47" s="64">
        <f>+B11</f>
        <v>1208548</v>
      </c>
      <c r="B47" s="65">
        <f>+C11</f>
        <v>1328712.6199999999</v>
      </c>
      <c r="C47" s="62" t="s">
        <v>1</v>
      </c>
    </row>
    <row r="48" spans="1:3" ht="17.25">
      <c r="A48" s="64">
        <f>+D11</f>
        <v>34006</v>
      </c>
      <c r="B48" s="65">
        <f>+E11</f>
        <v>37166.24</v>
      </c>
      <c r="C48" s="62" t="s">
        <v>2</v>
      </c>
    </row>
    <row r="49" spans="1:3" ht="17.25">
      <c r="A49" s="64">
        <f>+F11</f>
        <v>1252296</v>
      </c>
      <c r="B49" s="65">
        <f>+G11</f>
        <v>1217052.82</v>
      </c>
      <c r="C49" s="62" t="s">
        <v>3</v>
      </c>
    </row>
    <row r="50" spans="1:3" ht="17.25">
      <c r="A50" s="64">
        <f>+H11</f>
        <v>951500</v>
      </c>
      <c r="B50" s="65">
        <f>+I11</f>
        <v>847004.6</v>
      </c>
      <c r="C50" s="62" t="s">
        <v>35</v>
      </c>
    </row>
    <row r="51" spans="1:3" ht="17.25">
      <c r="A51" s="64">
        <f>+J11</f>
        <v>117000</v>
      </c>
      <c r="B51" s="65">
        <f>+K11</f>
        <v>12438.5</v>
      </c>
      <c r="C51" s="62" t="s">
        <v>33</v>
      </c>
    </row>
    <row r="52" spans="1:3" ht="17.25">
      <c r="A52" s="66">
        <f>+L11</f>
        <v>8000</v>
      </c>
      <c r="B52" s="65">
        <f>+M11</f>
        <v>53826.46</v>
      </c>
      <c r="C52" s="62" t="s">
        <v>102</v>
      </c>
    </row>
    <row r="53" spans="1:3" ht="17.25">
      <c r="A53" s="64">
        <f>+N11</f>
        <v>35000</v>
      </c>
      <c r="B53" s="65">
        <f>+O11</f>
        <v>75008.24</v>
      </c>
      <c r="C53" s="62" t="s">
        <v>36</v>
      </c>
    </row>
    <row r="54" spans="1:3" ht="17.25">
      <c r="A54" s="64">
        <f>SUM(A47:A53)</f>
        <v>3606350</v>
      </c>
      <c r="B54" s="65">
        <f>SUM(B47:B53)</f>
        <v>3571209.48</v>
      </c>
      <c r="C54" s="62"/>
    </row>
    <row r="55" ht="16.5">
      <c r="B55" s="5"/>
    </row>
  </sheetData>
  <mergeCells count="10">
    <mergeCell ref="K2:L2"/>
    <mergeCell ref="B3:D3"/>
    <mergeCell ref="J5:K5"/>
    <mergeCell ref="N5:O5"/>
    <mergeCell ref="B5:C5"/>
    <mergeCell ref="D5:E5"/>
    <mergeCell ref="F5:G5"/>
    <mergeCell ref="H5:I5"/>
    <mergeCell ref="L5:M5"/>
    <mergeCell ref="B2:F2"/>
  </mergeCells>
  <printOptions/>
  <pageMargins left="0.93" right="0.57" top="0.81" bottom="0.58" header="0.26" footer="0"/>
  <pageSetup horizontalDpi="600" verticalDpi="600" orientation="landscape" paperSize="5" r:id="rId2"/>
  <headerFooter alignWithMargins="0">
    <oddHeader>&amp;RCONTADURIA MUNICIPAL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G13">
      <selection activeCell="L19" sqref="L19"/>
    </sheetView>
  </sheetViews>
  <sheetFormatPr defaultColWidth="11.421875" defaultRowHeight="15"/>
  <cols>
    <col min="1" max="1" width="18.140625" style="1" customWidth="1"/>
    <col min="2" max="3" width="13.140625" style="1" customWidth="1"/>
    <col min="4" max="4" width="8.8515625" style="1" customWidth="1"/>
    <col min="5" max="5" width="13.140625" style="1" customWidth="1"/>
    <col min="6" max="6" width="12.57421875" style="1" customWidth="1"/>
    <col min="7" max="7" width="13.28125" style="1" customWidth="1"/>
    <col min="8" max="9" width="12.7109375" style="1" customWidth="1"/>
    <col min="10" max="10" width="11.8515625" style="1" customWidth="1"/>
    <col min="11" max="11" width="13.140625" style="1" customWidth="1"/>
    <col min="12" max="12" width="12.8515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42</v>
      </c>
    </row>
    <row r="2" spans="1:3" ht="18.75" thickBot="1">
      <c r="A2" s="18" t="s">
        <v>43</v>
      </c>
      <c r="C2" s="157">
        <v>40513</v>
      </c>
    </row>
    <row r="3" spans="1:12" ht="18" thickTop="1">
      <c r="A3" s="2" t="s">
        <v>44</v>
      </c>
      <c r="B3" s="135" t="s">
        <v>45</v>
      </c>
      <c r="C3" s="135" t="s">
        <v>26</v>
      </c>
      <c r="D3" s="135" t="s">
        <v>46</v>
      </c>
      <c r="E3" s="183" t="s">
        <v>47</v>
      </c>
      <c r="F3" s="184"/>
      <c r="G3" s="184"/>
      <c r="H3" s="184"/>
      <c r="I3" s="184"/>
      <c r="J3" s="184"/>
      <c r="K3" s="185"/>
      <c r="L3" s="137" t="s">
        <v>25</v>
      </c>
    </row>
    <row r="4" spans="1:12" ht="17.25">
      <c r="A4" s="3"/>
      <c r="B4" s="136" t="s">
        <v>48</v>
      </c>
      <c r="C4" s="136" t="s">
        <v>48</v>
      </c>
      <c r="D4" s="136" t="s">
        <v>49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50</v>
      </c>
      <c r="J4" s="4" t="s">
        <v>30</v>
      </c>
      <c r="K4" s="4" t="s">
        <v>36</v>
      </c>
      <c r="L4" s="138" t="s">
        <v>51</v>
      </c>
    </row>
    <row r="5" spans="1:12" ht="16.5">
      <c r="A5" s="159" t="s">
        <v>16</v>
      </c>
      <c r="B5" s="101">
        <f>+INT!P12+INT!Q12</f>
        <v>3999635</v>
      </c>
      <c r="C5" s="101">
        <f>SUM(E5:K5)</f>
        <v>4485480.02</v>
      </c>
      <c r="D5" s="102">
        <f>+C5/B5</f>
        <v>1.1214723393509656</v>
      </c>
      <c r="E5" s="101">
        <f>+INT!C12</f>
        <v>1488994.02</v>
      </c>
      <c r="F5" s="101">
        <f>+INT!E$12</f>
        <v>70021.06999999999</v>
      </c>
      <c r="G5" s="101">
        <f>+INT!G$12</f>
        <v>1230466.83</v>
      </c>
      <c r="H5" s="101">
        <f>+INT!I$12</f>
        <v>1454368.3700000003</v>
      </c>
      <c r="I5" s="101">
        <f>+INT!K$12</f>
        <v>82452.88</v>
      </c>
      <c r="J5" s="101">
        <f>+INT!M12</f>
        <v>12219.46</v>
      </c>
      <c r="K5" s="101">
        <f>+INT!O$12</f>
        <v>146957.39000000004</v>
      </c>
      <c r="L5" s="103">
        <f>+B5-C5</f>
        <v>-485845.01999999955</v>
      </c>
    </row>
    <row r="6" spans="1:12" ht="16.5">
      <c r="A6" s="159" t="s">
        <v>17</v>
      </c>
      <c r="B6" s="101">
        <f>+GOB!P16+GOB!Q16</f>
        <v>6905032</v>
      </c>
      <c r="C6" s="101">
        <f>SUM(E6:K6)</f>
        <v>7776589.94</v>
      </c>
      <c r="D6" s="102">
        <f>+C6/B6</f>
        <v>1.1262206952842508</v>
      </c>
      <c r="E6" s="101">
        <f>+GOB!C16</f>
        <v>3738336.81</v>
      </c>
      <c r="F6" s="101">
        <f>+GOB!E16</f>
        <v>91444.47</v>
      </c>
      <c r="G6" s="101">
        <f>+GOB!G16</f>
        <v>1950412.0500000003</v>
      </c>
      <c r="H6" s="101">
        <f>+GOB!I16</f>
        <v>1089875.23</v>
      </c>
      <c r="I6" s="101">
        <f>+GOB!K16</f>
        <v>542340.7000000001</v>
      </c>
      <c r="J6" s="101">
        <f>+GOB!M16</f>
        <v>89082.70999999999</v>
      </c>
      <c r="K6" s="101">
        <f>+GOB!O16</f>
        <v>275097.97</v>
      </c>
      <c r="L6" s="103">
        <f>+B6-C6</f>
        <v>-871557.9400000004</v>
      </c>
    </row>
    <row r="7" spans="1:12" ht="16.5">
      <c r="A7" s="159" t="s">
        <v>18</v>
      </c>
      <c r="B7" s="101">
        <f>+SEH!P14+SEH!Q14</f>
        <v>6940291</v>
      </c>
      <c r="C7" s="101">
        <f>SUM(E7:K7)</f>
        <v>6778213.66</v>
      </c>
      <c r="D7" s="102">
        <f>+C7/B7</f>
        <v>0.9766468956416957</v>
      </c>
      <c r="E7" s="101">
        <f>+SEH!C14</f>
        <v>3573211.9899999998</v>
      </c>
      <c r="F7" s="101">
        <f>+SEH!E14</f>
        <v>826671.82</v>
      </c>
      <c r="G7" s="101">
        <f>+SEH!G14</f>
        <v>2064627.08</v>
      </c>
      <c r="H7" s="101">
        <f>+SEH!I14</f>
        <v>1244</v>
      </c>
      <c r="I7" s="101">
        <f>+SEH!K14</f>
        <v>71228.95000000001</v>
      </c>
      <c r="J7" s="101">
        <f>+SEH!M14</f>
        <v>283.94</v>
      </c>
      <c r="K7" s="101">
        <f>+SEH!O14</f>
        <v>240945.88</v>
      </c>
      <c r="L7" s="103">
        <f>+B7-C7</f>
        <v>162077.33999999985</v>
      </c>
    </row>
    <row r="8" spans="1:12" ht="16.5">
      <c r="A8" s="159" t="s">
        <v>21</v>
      </c>
      <c r="B8" s="101">
        <f>+SAS!P13+SAS!Q13</f>
        <v>14574360</v>
      </c>
      <c r="C8" s="101">
        <f aca="true" t="shared" si="0" ref="C8:C15">SUM(E8:K8)</f>
        <v>14848498.27</v>
      </c>
      <c r="D8" s="102">
        <f aca="true" t="shared" si="1" ref="D8:D15">+C8/B8</f>
        <v>1.0188096266319755</v>
      </c>
      <c r="E8" s="101">
        <f>+SAS!C13</f>
        <v>6616073.01</v>
      </c>
      <c r="F8" s="101">
        <f>+SAS!E13</f>
        <v>165840.84</v>
      </c>
      <c r="G8" s="101">
        <f>+SAS!G13</f>
        <v>2175095.21</v>
      </c>
      <c r="H8" s="101">
        <f>+SAS!I13</f>
        <v>5430933.26</v>
      </c>
      <c r="I8" s="101">
        <f>+SAS!K13</f>
        <v>45690.08</v>
      </c>
      <c r="J8" s="101">
        <f>+SAS!M13</f>
        <v>20886.329999999998</v>
      </c>
      <c r="K8" s="101">
        <f>+SAS!O13</f>
        <v>393979.54000000004</v>
      </c>
      <c r="L8" s="103">
        <f aca="true" t="shared" si="2" ref="L8:L15">+B8-C8</f>
        <v>-274138.26999999955</v>
      </c>
    </row>
    <row r="9" spans="1:12" ht="16.5">
      <c r="A9" s="159" t="s">
        <v>19</v>
      </c>
      <c r="B9" s="101">
        <f>+SOP!P12+SOP!Q12</f>
        <v>15296873</v>
      </c>
      <c r="C9" s="101">
        <f t="shared" si="0"/>
        <v>11664062.549999999</v>
      </c>
      <c r="D9" s="102">
        <f t="shared" si="1"/>
        <v>0.7625128710946347</v>
      </c>
      <c r="E9" s="101">
        <f>+SOP!C12</f>
        <v>2979626.51</v>
      </c>
      <c r="F9" s="101">
        <f>+SOP!E12</f>
        <v>226760.55</v>
      </c>
      <c r="G9" s="101">
        <f>+SOP!G12</f>
        <v>1205745.59</v>
      </c>
      <c r="H9" s="101">
        <f>+SOP!I12</f>
        <v>12250</v>
      </c>
      <c r="I9" s="101">
        <f>+SOP!K12</f>
        <v>145248.44</v>
      </c>
      <c r="J9" s="101">
        <f>+SOP!M12</f>
        <v>6805140.379999999</v>
      </c>
      <c r="K9" s="101">
        <f>+SOP!O12</f>
        <v>289291.08</v>
      </c>
      <c r="L9" s="103">
        <f t="shared" si="2"/>
        <v>3632810.450000001</v>
      </c>
    </row>
    <row r="10" spans="1:12" ht="16.5">
      <c r="A10" s="159" t="s">
        <v>87</v>
      </c>
      <c r="B10" s="101">
        <f>+SFOI!P13+SFOI!Q13</f>
        <v>9713958</v>
      </c>
      <c r="C10" s="101">
        <f t="shared" si="0"/>
        <v>11342755.38</v>
      </c>
      <c r="D10" s="102">
        <f t="shared" si="1"/>
        <v>1.1676759751277492</v>
      </c>
      <c r="E10" s="101">
        <f>+SFOI!C13</f>
        <v>7531568.290000001</v>
      </c>
      <c r="F10" s="101">
        <f>+SFOI!E13</f>
        <v>222948.88</v>
      </c>
      <c r="G10" s="101">
        <f>+SFOI!G13</f>
        <v>2849879.06</v>
      </c>
      <c r="H10" s="101">
        <f>+SFOI!I13</f>
        <v>3919.44</v>
      </c>
      <c r="I10" s="101">
        <f>+SFOI!K13</f>
        <v>334523.05000000005</v>
      </c>
      <c r="J10" s="101">
        <f>+SFOI!M13</f>
        <v>52478.57</v>
      </c>
      <c r="K10" s="101">
        <f>+SFOI!O13</f>
        <v>347438.08999999997</v>
      </c>
      <c r="L10" s="103">
        <f t="shared" si="2"/>
        <v>-1628797.3800000008</v>
      </c>
    </row>
    <row r="11" spans="1:12" ht="16.5">
      <c r="A11" s="159" t="s">
        <v>22</v>
      </c>
      <c r="B11" s="101">
        <f>+'CD'!P12+'CD'!Q12</f>
        <v>1378120</v>
      </c>
      <c r="C11" s="101">
        <f t="shared" si="0"/>
        <v>1164656.7200000002</v>
      </c>
      <c r="D11" s="102">
        <f t="shared" si="1"/>
        <v>0.8451054480016256</v>
      </c>
      <c r="E11" s="101">
        <f>+'CD'!C12</f>
        <v>851925.26</v>
      </c>
      <c r="F11" s="101">
        <f>+'CD'!E12</f>
        <v>11656.26</v>
      </c>
      <c r="G11" s="101">
        <f>+'CD'!G12</f>
        <v>25489.36</v>
      </c>
      <c r="H11" s="101">
        <f>+'CD'!I12</f>
        <v>176787.74</v>
      </c>
      <c r="I11" s="101">
        <f>+'CD'!K12</f>
        <v>5242.29</v>
      </c>
      <c r="J11" s="101">
        <f>+'CD'!M12</f>
        <v>0</v>
      </c>
      <c r="K11" s="101">
        <f>+'CD'!O12</f>
        <v>93555.81000000001</v>
      </c>
      <c r="L11" s="103">
        <f t="shared" si="2"/>
        <v>213463.2799999998</v>
      </c>
    </row>
    <row r="12" spans="1:12" ht="16.5">
      <c r="A12" s="159" t="s">
        <v>23</v>
      </c>
      <c r="B12" s="101">
        <f>+'CM'!N12+'CM'!O12</f>
        <v>393473</v>
      </c>
      <c r="C12" s="101">
        <f t="shared" si="0"/>
        <v>343473.31</v>
      </c>
      <c r="D12" s="102">
        <f t="shared" si="1"/>
        <v>0.872927265657364</v>
      </c>
      <c r="E12" s="101">
        <f>+'CM'!C12</f>
        <v>270173.05</v>
      </c>
      <c r="F12" s="101">
        <f>+'CM'!E12</f>
        <v>1545.02</v>
      </c>
      <c r="G12" s="101">
        <f>+'CM'!G12</f>
        <v>54277.93</v>
      </c>
      <c r="H12" s="101">
        <f>+'CM'!I12</f>
        <v>0</v>
      </c>
      <c r="I12" s="101">
        <f>+'CM'!K12</f>
        <v>6448.12</v>
      </c>
      <c r="J12" s="101">
        <v>0</v>
      </c>
      <c r="K12" s="101">
        <f>+'CM'!M12</f>
        <v>11029.19</v>
      </c>
      <c r="L12" s="103">
        <f t="shared" si="2"/>
        <v>49999.69</v>
      </c>
    </row>
    <row r="13" spans="1:12" ht="16.5">
      <c r="A13" s="159" t="s">
        <v>20</v>
      </c>
      <c r="B13" s="101">
        <f>+SSP!P13+SSP!Q13</f>
        <v>24443494</v>
      </c>
      <c r="C13" s="101">
        <f t="shared" si="0"/>
        <v>21749497.559999995</v>
      </c>
      <c r="D13" s="102">
        <f t="shared" si="1"/>
        <v>0.8897867694364805</v>
      </c>
      <c r="E13" s="101">
        <f>+SSP!C13</f>
        <v>12339169.9</v>
      </c>
      <c r="F13" s="101">
        <f>+SSP!E13</f>
        <v>2961033.19</v>
      </c>
      <c r="G13" s="101">
        <f>+SSP!G13</f>
        <v>4157427.04</v>
      </c>
      <c r="H13" s="101">
        <f>+SSP!I13</f>
        <v>141555.36</v>
      </c>
      <c r="I13" s="101">
        <f>+SSP!K13</f>
        <v>140907.58000000002</v>
      </c>
      <c r="J13" s="101">
        <f>+SSP!M13</f>
        <v>1048815.3800000001</v>
      </c>
      <c r="K13" s="101">
        <f>+SSP!O13</f>
        <v>960589.11</v>
      </c>
      <c r="L13" s="103">
        <f t="shared" si="2"/>
        <v>2693996.440000005</v>
      </c>
    </row>
    <row r="14" spans="1:12" ht="16.5">
      <c r="A14" s="159" t="s">
        <v>123</v>
      </c>
      <c r="B14" s="101">
        <f>+'CULT.'!P17+'CULT.'!Q17</f>
        <v>3930413.9999999995</v>
      </c>
      <c r="C14" s="101">
        <f t="shared" si="0"/>
        <v>3563506.6599999997</v>
      </c>
      <c r="D14" s="102">
        <f t="shared" si="1"/>
        <v>0.9066491875919432</v>
      </c>
      <c r="E14" s="101">
        <f>+'CULT.'!C17</f>
        <v>1522214.96</v>
      </c>
      <c r="F14" s="101">
        <f>+'CULT.'!E17</f>
        <v>47743.43</v>
      </c>
      <c r="G14" s="101">
        <f>+'CULT.'!G17</f>
        <v>1254707.26</v>
      </c>
      <c r="H14" s="101">
        <f>+'CULT.'!I17</f>
        <v>553460.8200000001</v>
      </c>
      <c r="I14" s="101">
        <f>+'CULT.'!K17</f>
        <v>40139.33</v>
      </c>
      <c r="J14" s="101">
        <f>+'CULT.'!M17</f>
        <v>44970.29</v>
      </c>
      <c r="K14" s="101">
        <f>+'CULT.'!O17</f>
        <v>100270.57</v>
      </c>
      <c r="L14" s="103">
        <f t="shared" si="2"/>
        <v>366907.33999999985</v>
      </c>
    </row>
    <row r="15" spans="1:12" ht="16.5">
      <c r="A15" s="159" t="s">
        <v>124</v>
      </c>
      <c r="B15" s="101">
        <f>+'DEP.'!P11+'DEP.'!Q11</f>
        <v>3606350</v>
      </c>
      <c r="C15" s="101">
        <f t="shared" si="0"/>
        <v>3571209.48</v>
      </c>
      <c r="D15" s="102">
        <f t="shared" si="1"/>
        <v>0.9902559318979023</v>
      </c>
      <c r="E15" s="101">
        <f>+'DEP.'!C11</f>
        <v>1328712.6199999999</v>
      </c>
      <c r="F15" s="101">
        <f>+'DEP.'!E11</f>
        <v>37166.24</v>
      </c>
      <c r="G15" s="101">
        <f>+'DEP.'!G11</f>
        <v>1217052.82</v>
      </c>
      <c r="H15" s="101">
        <f>+'DEP.'!I11</f>
        <v>847004.6</v>
      </c>
      <c r="I15" s="101">
        <f>+'DEP.'!K11</f>
        <v>12438.5</v>
      </c>
      <c r="J15" s="101">
        <f>+'DEP.'!M11</f>
        <v>53826.46</v>
      </c>
      <c r="K15" s="101">
        <f>+'DEP.'!O11</f>
        <v>75008.24</v>
      </c>
      <c r="L15" s="103">
        <f t="shared" si="2"/>
        <v>35140.52000000002</v>
      </c>
    </row>
    <row r="16" spans="1:12" ht="17.25">
      <c r="A16" s="16" t="s">
        <v>11</v>
      </c>
      <c r="B16" s="11">
        <f>SUM(B5:B15)</f>
        <v>91182000</v>
      </c>
      <c r="C16" s="11">
        <f>SUM(C5:C15)</f>
        <v>87287943.55</v>
      </c>
      <c r="D16" s="12">
        <f>+C16/B16</f>
        <v>0.9572935837116975</v>
      </c>
      <c r="E16" s="11">
        <f aca="true" t="shared" si="3" ref="E16:K16">SUM(E5:E15)</f>
        <v>42240006.42</v>
      </c>
      <c r="F16" s="11">
        <f t="shared" si="3"/>
        <v>4662831.77</v>
      </c>
      <c r="G16" s="11">
        <f t="shared" si="3"/>
        <v>18185180.230000004</v>
      </c>
      <c r="H16" s="11">
        <f t="shared" si="3"/>
        <v>9711398.82</v>
      </c>
      <c r="I16" s="11">
        <f t="shared" si="3"/>
        <v>1426659.9200000004</v>
      </c>
      <c r="J16" s="11">
        <f t="shared" si="3"/>
        <v>8127703.52</v>
      </c>
      <c r="K16" s="11">
        <f t="shared" si="3"/>
        <v>2934162.87</v>
      </c>
      <c r="L16" s="19">
        <f>SUM(L5:L15)</f>
        <v>3894056.4500000053</v>
      </c>
    </row>
    <row r="17" spans="1:12" ht="18" thickBot="1">
      <c r="A17" s="15" t="s">
        <v>52</v>
      </c>
      <c r="B17" s="6"/>
      <c r="C17" s="7"/>
      <c r="D17" s="8"/>
      <c r="E17" s="13">
        <f>+E16/42241770</f>
        <v>0.999958250328999</v>
      </c>
      <c r="F17" s="14">
        <f>+F16/5737811</f>
        <v>0.8126499408920927</v>
      </c>
      <c r="G17" s="14">
        <f>+G16/18189883</f>
        <v>0.9997414623282626</v>
      </c>
      <c r="H17" s="14">
        <f>+H16/9772716</f>
        <v>0.9937256766696178</v>
      </c>
      <c r="I17" s="14">
        <f>+I16/1855220</f>
        <v>0.7689977037763718</v>
      </c>
      <c r="J17" s="14">
        <f>+J16/10446600</f>
        <v>0.7780238087033101</v>
      </c>
      <c r="K17" s="14">
        <f>+K16/2938000</f>
        <v>0.9986939652825051</v>
      </c>
      <c r="L17" s="9"/>
    </row>
    <row r="18" spans="2:12" ht="17.25" thickTop="1">
      <c r="B18" s="5"/>
      <c r="C18" s="52"/>
      <c r="D18" s="5"/>
      <c r="E18" s="186"/>
      <c r="F18" s="78"/>
      <c r="G18" s="78"/>
      <c r="H18" s="78"/>
      <c r="I18" s="78"/>
      <c r="K18" s="78"/>
      <c r="L18" s="5"/>
    </row>
    <row r="19" spans="8:11" ht="16.5">
      <c r="H19" s="5"/>
      <c r="I19" s="5"/>
      <c r="J19" s="5"/>
      <c r="K19" s="128" t="s">
        <v>53</v>
      </c>
    </row>
    <row r="20" ht="16.5">
      <c r="K20" s="128"/>
    </row>
    <row r="21" ht="16.5">
      <c r="K21" s="129" t="s">
        <v>54</v>
      </c>
    </row>
    <row r="22" ht="16.5">
      <c r="K22" s="128"/>
    </row>
    <row r="23" ht="16.5">
      <c r="K23" s="158" t="s">
        <v>55</v>
      </c>
    </row>
    <row r="24" ht="16.5">
      <c r="K24" s="128"/>
    </row>
    <row r="25" ht="16.5">
      <c r="K25" s="130" t="s">
        <v>56</v>
      </c>
    </row>
    <row r="26" ht="16.5">
      <c r="K26" s="128"/>
    </row>
    <row r="27" ht="16.5">
      <c r="K27" s="139" t="s">
        <v>57</v>
      </c>
    </row>
    <row r="28" ht="16.5">
      <c r="K28" s="128"/>
    </row>
    <row r="29" ht="16.5">
      <c r="K29" s="131" t="s">
        <v>58</v>
      </c>
    </row>
    <row r="30" ht="16.5">
      <c r="K30" s="128"/>
    </row>
    <row r="31" ht="16.5">
      <c r="K31" s="132" t="s">
        <v>59</v>
      </c>
    </row>
    <row r="32" ht="16.5">
      <c r="K32" s="128"/>
    </row>
    <row r="33" ht="16.5">
      <c r="K33" s="133" t="s">
        <v>60</v>
      </c>
    </row>
    <row r="34" ht="16.5">
      <c r="K34" s="128"/>
    </row>
    <row r="35" ht="16.5">
      <c r="K35" s="134" t="s">
        <v>61</v>
      </c>
    </row>
    <row r="60" spans="5:13" ht="16.5">
      <c r="E60" s="1" t="s">
        <v>61</v>
      </c>
      <c r="F60" s="1" t="s">
        <v>60</v>
      </c>
      <c r="G60" s="1" t="s">
        <v>59</v>
      </c>
      <c r="H60" s="1" t="s">
        <v>62</v>
      </c>
      <c r="I60" s="1" t="s">
        <v>63</v>
      </c>
      <c r="J60" s="1" t="s">
        <v>64</v>
      </c>
      <c r="K60" s="1" t="s">
        <v>55</v>
      </c>
      <c r="L60" s="1" t="s">
        <v>65</v>
      </c>
      <c r="M60" s="1" t="s">
        <v>66</v>
      </c>
    </row>
    <row r="61" spans="1:13" ht="16.5">
      <c r="A61" s="1" t="s">
        <v>67</v>
      </c>
      <c r="E61" s="10">
        <f>+E5/B5</f>
        <v>0.37228247577591456</v>
      </c>
      <c r="F61" s="10">
        <f aca="true" t="shared" si="4" ref="F61:L61">+F5/$B$5</f>
        <v>0.01750686500143138</v>
      </c>
      <c r="G61" s="10">
        <f t="shared" si="4"/>
        <v>0.3076447800861829</v>
      </c>
      <c r="H61" s="10">
        <f t="shared" si="4"/>
        <v>0.36362527330618927</v>
      </c>
      <c r="I61" s="10">
        <f t="shared" si="4"/>
        <v>0.02061510112797793</v>
      </c>
      <c r="J61" s="10">
        <f t="shared" si="4"/>
        <v>0.0030551437818700953</v>
      </c>
      <c r="K61" s="10">
        <f t="shared" si="4"/>
        <v>0.036742700271399774</v>
      </c>
      <c r="L61" s="10">
        <f t="shared" si="4"/>
        <v>-0.12147233935096566</v>
      </c>
      <c r="M61" s="10">
        <f>SUM(E61:L61)</f>
        <v>1.0000000000000004</v>
      </c>
    </row>
    <row r="62" spans="1:13" ht="16.5">
      <c r="A62" s="1" t="s">
        <v>68</v>
      </c>
      <c r="E62" s="10">
        <f>+E6/$B$6</f>
        <v>0.5413931188153799</v>
      </c>
      <c r="F62" s="10">
        <f aca="true" t="shared" si="5" ref="F62:L62">+F6/$B$6</f>
        <v>0.013243163826032958</v>
      </c>
      <c r="G62" s="10">
        <f t="shared" si="5"/>
        <v>0.2824624201596749</v>
      </c>
      <c r="H62" s="10">
        <f t="shared" si="5"/>
        <v>0.1578378246473007</v>
      </c>
      <c r="I62" s="10">
        <f t="shared" si="5"/>
        <v>0.07854282210422776</v>
      </c>
      <c r="J62" s="10">
        <f t="shared" si="5"/>
        <v>0.012901129205483768</v>
      </c>
      <c r="K62" s="10">
        <f t="shared" si="5"/>
        <v>0.03984021652615078</v>
      </c>
      <c r="L62" s="10">
        <f t="shared" si="5"/>
        <v>-0.12622069528425073</v>
      </c>
      <c r="M62" s="10">
        <f aca="true" t="shared" si="6" ref="M62:M69">SUM(E62:L62)</f>
        <v>0.9999999999999999</v>
      </c>
    </row>
    <row r="63" spans="1:13" ht="16.5">
      <c r="A63" s="1" t="s">
        <v>69</v>
      </c>
      <c r="E63" s="10">
        <f>+E7/$B$7</f>
        <v>0.5148504565586659</v>
      </c>
      <c r="F63" s="10">
        <f aca="true" t="shared" si="7" ref="F63:L63">+F7/$B$7</f>
        <v>0.11911198248027352</v>
      </c>
      <c r="G63" s="10">
        <f t="shared" si="7"/>
        <v>0.2974842236442247</v>
      </c>
      <c r="H63" s="10">
        <f t="shared" si="7"/>
        <v>0.0001792432046437246</v>
      </c>
      <c r="I63" s="10">
        <f t="shared" si="7"/>
        <v>0.01026310712331803</v>
      </c>
      <c r="J63" s="10">
        <f t="shared" si="7"/>
        <v>4.091182920139804E-05</v>
      </c>
      <c r="K63" s="10">
        <f t="shared" si="7"/>
        <v>0.034716970801368416</v>
      </c>
      <c r="L63" s="10">
        <f t="shared" si="7"/>
        <v>0.023353104358304264</v>
      </c>
      <c r="M63" s="10">
        <f t="shared" si="6"/>
        <v>0.9999999999999999</v>
      </c>
    </row>
    <row r="64" spans="1:13" ht="16.5">
      <c r="A64" s="1" t="s">
        <v>72</v>
      </c>
      <c r="E64" s="10">
        <f>+E8/$B$8</f>
        <v>0.4539529015339267</v>
      </c>
      <c r="F64" s="10">
        <f aca="true" t="shared" si="8" ref="F64:L64">+F8/$B$8</f>
        <v>0.011378944941664677</v>
      </c>
      <c r="G64" s="10">
        <f t="shared" si="8"/>
        <v>0.14924121608084334</v>
      </c>
      <c r="H64" s="10">
        <f t="shared" si="8"/>
        <v>0.372636140454881</v>
      </c>
      <c r="I64" s="10">
        <f t="shared" si="8"/>
        <v>0.003134963044689441</v>
      </c>
      <c r="J64" s="10">
        <f t="shared" si="8"/>
        <v>0.0014330872847932944</v>
      </c>
      <c r="K64" s="10">
        <f t="shared" si="8"/>
        <v>0.027032373291177112</v>
      </c>
      <c r="L64" s="10">
        <f t="shared" si="8"/>
        <v>-0.018809626631975575</v>
      </c>
      <c r="M64" s="10">
        <f t="shared" si="6"/>
        <v>0.9999999999999999</v>
      </c>
    </row>
    <row r="65" spans="1:13" ht="16.5">
      <c r="A65" s="1" t="s">
        <v>70</v>
      </c>
      <c r="E65" s="10">
        <f>+E9/$B$9</f>
        <v>0.1947866410344127</v>
      </c>
      <c r="F65" s="10">
        <f aca="true" t="shared" si="9" ref="F65:L65">+F9/$B$9</f>
        <v>0.01482398069200156</v>
      </c>
      <c r="G65" s="10">
        <f t="shared" si="9"/>
        <v>0.07882301108206886</v>
      </c>
      <c r="H65" s="10">
        <f t="shared" si="9"/>
        <v>0.0008008172650711031</v>
      </c>
      <c r="I65" s="10">
        <f t="shared" si="9"/>
        <v>0.009495302732787283</v>
      </c>
      <c r="J65" s="10">
        <f t="shared" si="9"/>
        <v>0.44487133939073686</v>
      </c>
      <c r="K65" s="10">
        <f t="shared" si="9"/>
        <v>0.018911778897556384</v>
      </c>
      <c r="L65" s="10">
        <f t="shared" si="9"/>
        <v>0.23748712890536525</v>
      </c>
      <c r="M65" s="10">
        <f t="shared" si="6"/>
        <v>1</v>
      </c>
    </row>
    <row r="66" spans="1:13" ht="16.5">
      <c r="A66" s="1" t="s">
        <v>99</v>
      </c>
      <c r="E66" s="10">
        <f>+E10/$B$10</f>
        <v>0.775334656583856</v>
      </c>
      <c r="F66" s="10">
        <f aca="true" t="shared" si="10" ref="F66:L66">+F10/$B$10</f>
        <v>0.02295139427203618</v>
      </c>
      <c r="G66" s="10">
        <f t="shared" si="10"/>
        <v>0.2933798004891518</v>
      </c>
      <c r="H66" s="10">
        <f t="shared" si="10"/>
        <v>0.0004034853764037275</v>
      </c>
      <c r="I66" s="10">
        <f t="shared" si="10"/>
        <v>0.03443735807793281</v>
      </c>
      <c r="J66" s="10">
        <f t="shared" si="10"/>
        <v>0.005402387986441778</v>
      </c>
      <c r="K66" s="10">
        <f t="shared" si="10"/>
        <v>0.03576689234192695</v>
      </c>
      <c r="L66" s="10">
        <f t="shared" si="10"/>
        <v>-0.16767597512774926</v>
      </c>
      <c r="M66" s="10">
        <f t="shared" si="6"/>
        <v>1.0000000000000002</v>
      </c>
    </row>
    <row r="67" spans="1:13" ht="16.5">
      <c r="A67" s="1" t="s">
        <v>73</v>
      </c>
      <c r="E67" s="10">
        <f>+E11/$B$11</f>
        <v>0.6181793022378312</v>
      </c>
      <c r="F67" s="10">
        <f aca="true" t="shared" si="11" ref="F67:L67">+F11/$B$11</f>
        <v>0.008458087829797114</v>
      </c>
      <c r="G67" s="10">
        <f t="shared" si="11"/>
        <v>0.018495747830377617</v>
      </c>
      <c r="H67" s="10">
        <f t="shared" si="11"/>
        <v>0.12828181870954633</v>
      </c>
      <c r="I67" s="10">
        <f t="shared" si="11"/>
        <v>0.0038039430528546136</v>
      </c>
      <c r="J67" s="10">
        <f t="shared" si="11"/>
        <v>0</v>
      </c>
      <c r="K67" s="10">
        <f t="shared" si="11"/>
        <v>0.06788654834121848</v>
      </c>
      <c r="L67" s="10">
        <f t="shared" si="11"/>
        <v>0.15489455199837446</v>
      </c>
      <c r="M67" s="10">
        <f t="shared" si="6"/>
        <v>0.9999999999999998</v>
      </c>
    </row>
    <row r="68" spans="1:13" ht="16.5">
      <c r="A68" s="1" t="s">
        <v>74</v>
      </c>
      <c r="E68" s="10">
        <f>+E12/$B$12</f>
        <v>0.6866368213320863</v>
      </c>
      <c r="F68" s="10">
        <f aca="true" t="shared" si="12" ref="F68:L68">+F12/$B$12</f>
        <v>0.003926622665341713</v>
      </c>
      <c r="G68" s="10">
        <f t="shared" si="12"/>
        <v>0.13794575485484392</v>
      </c>
      <c r="H68" s="10">
        <f t="shared" si="12"/>
        <v>0</v>
      </c>
      <c r="I68" s="10">
        <f t="shared" si="12"/>
        <v>0.01638770639916843</v>
      </c>
      <c r="J68" s="10">
        <f t="shared" si="12"/>
        <v>0</v>
      </c>
      <c r="K68" s="10">
        <f t="shared" si="12"/>
        <v>0.02803036040592366</v>
      </c>
      <c r="L68" s="10">
        <f t="shared" si="12"/>
        <v>0.12707273434263597</v>
      </c>
      <c r="M68" s="10">
        <f t="shared" si="6"/>
        <v>1</v>
      </c>
    </row>
    <row r="69" spans="1:13" ht="16.5">
      <c r="A69" s="1" t="s">
        <v>71</v>
      </c>
      <c r="E69" s="10">
        <f>+E13/$B$13</f>
        <v>0.5048038508733653</v>
      </c>
      <c r="F69" s="10">
        <f aca="true" t="shared" si="13" ref="F69:L69">+F13/$B$13</f>
        <v>0.12113788601580446</v>
      </c>
      <c r="G69" s="10">
        <f t="shared" si="13"/>
        <v>0.17008317387031494</v>
      </c>
      <c r="H69" s="10">
        <f t="shared" si="13"/>
        <v>0.005791126260427416</v>
      </c>
      <c r="I69" s="10">
        <f t="shared" si="13"/>
        <v>0.0057646251391065455</v>
      </c>
      <c r="J69" s="10">
        <f t="shared" si="13"/>
        <v>0.04290775205868687</v>
      </c>
      <c r="K69" s="10">
        <f t="shared" si="13"/>
        <v>0.039298355218775186</v>
      </c>
      <c r="L69" s="10">
        <f t="shared" si="13"/>
        <v>0.11021323056351948</v>
      </c>
      <c r="M69" s="10">
        <f t="shared" si="6"/>
        <v>1.0000000000000002</v>
      </c>
    </row>
    <row r="70" spans="1:13" ht="16.5">
      <c r="A70" s="1" t="s">
        <v>95</v>
      </c>
      <c r="E70" s="10">
        <f>+E14/$B$14</f>
        <v>0.3872912522701171</v>
      </c>
      <c r="F70" s="10">
        <f aca="true" t="shared" si="14" ref="F70:L70">+F14/$B$14</f>
        <v>0.012147175844580242</v>
      </c>
      <c r="G70" s="10">
        <f t="shared" si="14"/>
        <v>0.31923030500094907</v>
      </c>
      <c r="H70" s="10">
        <f t="shared" si="14"/>
        <v>0.14081489125573035</v>
      </c>
      <c r="I70" s="10">
        <f t="shared" si="14"/>
        <v>0.010212494154559802</v>
      </c>
      <c r="J70" s="10">
        <f t="shared" si="14"/>
        <v>0.011441616582884145</v>
      </c>
      <c r="K70" s="10">
        <f t="shared" si="14"/>
        <v>0.025511452483122646</v>
      </c>
      <c r="L70" s="10">
        <f t="shared" si="14"/>
        <v>0.09335081240805673</v>
      </c>
      <c r="M70" s="10">
        <f>SUM(E70:L70)</f>
        <v>1.0000000000000002</v>
      </c>
    </row>
    <row r="71" spans="1:13" ht="16.5">
      <c r="A71" s="1" t="s">
        <v>96</v>
      </c>
      <c r="E71" s="10">
        <f>+E15/$B$15</f>
        <v>0.3684369570341203</v>
      </c>
      <c r="F71" s="10">
        <f aca="true" t="shared" si="15" ref="F71:L71">+F15/$B$15</f>
        <v>0.010305777309468021</v>
      </c>
      <c r="G71" s="10">
        <f t="shared" si="15"/>
        <v>0.33747495944653183</v>
      </c>
      <c r="H71" s="10">
        <f t="shared" si="15"/>
        <v>0.23486478017940576</v>
      </c>
      <c r="I71" s="10">
        <f t="shared" si="15"/>
        <v>0.0034490551388523024</v>
      </c>
      <c r="J71" s="10">
        <f t="shared" si="15"/>
        <v>0.0149254675780221</v>
      </c>
      <c r="K71" s="10">
        <f t="shared" si="15"/>
        <v>0.020798935211501935</v>
      </c>
      <c r="L71" s="10">
        <f t="shared" si="15"/>
        <v>0.009744068102097695</v>
      </c>
      <c r="M71" s="10">
        <f>SUM(E71:L71)</f>
        <v>0.9999999999999998</v>
      </c>
    </row>
  </sheetData>
  <mergeCells count="1">
    <mergeCell ref="E3:K3"/>
  </mergeCells>
  <printOptions horizontalCentered="1"/>
  <pageMargins left="0.76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5"/>
  <sheetViews>
    <sheetView workbookViewId="0" topLeftCell="F22">
      <selection activeCell="N28" sqref="N2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57421875" style="1" customWidth="1"/>
    <col min="4" max="4" width="6.8515625" style="1" customWidth="1"/>
    <col min="5" max="5" width="9.421875" style="1" customWidth="1"/>
    <col min="6" max="6" width="9.28125" style="1" customWidth="1"/>
    <col min="7" max="7" width="12.421875" style="1" customWidth="1"/>
    <col min="8" max="8" width="7.7109375" style="1" customWidth="1"/>
    <col min="9" max="9" width="12.00390625" style="1" customWidth="1"/>
    <col min="10" max="10" width="7.8515625" style="1" customWidth="1"/>
    <col min="11" max="11" width="10.8515625" style="1" customWidth="1"/>
    <col min="12" max="12" width="6.8515625" style="1" customWidth="1"/>
    <col min="13" max="13" width="9.57421875" style="1" customWidth="1"/>
    <col min="14" max="14" width="7.421875" style="1" customWidth="1"/>
    <col min="15" max="15" width="10.7109375" style="1" customWidth="1"/>
    <col min="16" max="16" width="12.140625" style="1" customWidth="1"/>
    <col min="17" max="17" width="11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106</v>
      </c>
      <c r="C2" s="164"/>
      <c r="D2" s="169"/>
      <c r="E2" s="169"/>
      <c r="I2" s="21" t="s">
        <v>24</v>
      </c>
      <c r="J2" s="21"/>
      <c r="K2" s="157">
        <v>40513</v>
      </c>
      <c r="L2" s="122"/>
      <c r="M2" s="122"/>
      <c r="O2" s="20"/>
    </row>
    <row r="3" spans="2:4" ht="6.75" customHeight="1">
      <c r="B3" s="170"/>
      <c r="C3" s="170"/>
      <c r="D3" s="67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68">
        <v>905732</v>
      </c>
      <c r="C7" s="33">
        <f>4530.04+479816.84+2299.35+71847.34+2807.02+92145.93+5264.89+178883.44</f>
        <v>837594.8500000001</v>
      </c>
      <c r="D7" s="68">
        <v>16165</v>
      </c>
      <c r="E7" s="33">
        <f>909.77+39673.74</f>
        <v>40583.509999999995</v>
      </c>
      <c r="F7" s="68">
        <f>192020+60000</f>
        <v>252020</v>
      </c>
      <c r="G7" s="33">
        <f>7309.52+630916.54+46390</f>
        <v>684616.06</v>
      </c>
      <c r="H7" s="68">
        <f>405000+75000</f>
        <v>480000</v>
      </c>
      <c r="I7" s="33">
        <f>15564.42+760616+101348.02</f>
        <v>877528.4400000001</v>
      </c>
      <c r="J7" s="68">
        <v>200000</v>
      </c>
      <c r="K7" s="33">
        <v>9849.39</v>
      </c>
      <c r="L7" s="68">
        <v>0</v>
      </c>
      <c r="M7" s="33">
        <f>300+60299.86</f>
        <v>60599.86</v>
      </c>
      <c r="N7" s="68">
        <v>250000</v>
      </c>
      <c r="O7" s="33">
        <v>148352.81</v>
      </c>
      <c r="P7" s="34">
        <f>+O7+K7+I7+G7+E7+C7+M7</f>
        <v>2659124.9200000004</v>
      </c>
      <c r="Q7" s="34">
        <f>+B7+D7+F7+H7+J7+N7-P7</f>
        <v>-555207.9200000004</v>
      </c>
      <c r="R7" s="5"/>
    </row>
    <row r="8" spans="1:18" ht="17.25">
      <c r="A8" s="31" t="s">
        <v>84</v>
      </c>
      <c r="B8" s="68">
        <v>132988</v>
      </c>
      <c r="C8" s="33">
        <f>4357.99+135281.74</f>
        <v>139639.72999999998</v>
      </c>
      <c r="D8" s="68">
        <v>0</v>
      </c>
      <c r="E8" s="33">
        <v>360</v>
      </c>
      <c r="F8" s="68">
        <v>0</v>
      </c>
      <c r="G8" s="33">
        <f>1134.98+25878.24</f>
        <v>27013.22</v>
      </c>
      <c r="H8" s="68">
        <v>0</v>
      </c>
      <c r="I8" s="33">
        <v>0</v>
      </c>
      <c r="J8" s="68">
        <v>0</v>
      </c>
      <c r="K8" s="33">
        <v>2811</v>
      </c>
      <c r="L8" s="68">
        <v>0</v>
      </c>
      <c r="M8" s="33">
        <v>0</v>
      </c>
      <c r="N8" s="68">
        <v>0</v>
      </c>
      <c r="O8" s="37">
        <v>4242.69</v>
      </c>
      <c r="P8" s="34">
        <f>+O8+K8+I8+G8+E8+C8</f>
        <v>174066.63999999998</v>
      </c>
      <c r="Q8" s="34">
        <f>+B8+D8+F8+H8+J8+N8-P8</f>
        <v>-41078.639999999985</v>
      </c>
      <c r="R8" s="5"/>
    </row>
    <row r="9" spans="1:18" ht="17.25">
      <c r="A9" s="31" t="s">
        <v>85</v>
      </c>
      <c r="B9" s="68">
        <v>203537</v>
      </c>
      <c r="C9" s="33">
        <f>6729+263172.74</f>
        <v>269901.74</v>
      </c>
      <c r="D9" s="68">
        <v>0</v>
      </c>
      <c r="E9" s="33">
        <v>2724.05</v>
      </c>
      <c r="F9" s="68">
        <f>360094-15000</f>
        <v>345094</v>
      </c>
      <c r="G9" s="33">
        <f>1700+206986.93</f>
        <v>208686.93</v>
      </c>
      <c r="H9" s="68">
        <v>0</v>
      </c>
      <c r="I9" s="33">
        <v>0</v>
      </c>
      <c r="J9" s="68">
        <v>0</v>
      </c>
      <c r="K9" s="33">
        <v>295</v>
      </c>
      <c r="L9" s="68">
        <v>0</v>
      </c>
      <c r="M9" s="33">
        <v>0</v>
      </c>
      <c r="N9" s="68">
        <v>0</v>
      </c>
      <c r="O9" s="37">
        <v>9478.02</v>
      </c>
      <c r="P9" s="34">
        <f>+O9+K9+I9+G9+E9+C9+M9</f>
        <v>491085.74</v>
      </c>
      <c r="Q9" s="34">
        <f aca="true" t="shared" si="0" ref="Q9:Q15">+B9+D9+F9+H9+J9+N9-P9</f>
        <v>57545.26000000001</v>
      </c>
      <c r="R9" s="5"/>
    </row>
    <row r="10" spans="1:18" ht="17.25">
      <c r="A10" s="31" t="s">
        <v>75</v>
      </c>
      <c r="B10" s="68">
        <v>673259</v>
      </c>
      <c r="C10" s="33">
        <f>11660.84+312588.6+9764.45+218477.5+3102.86+69145.9+477.48+15473.71</f>
        <v>640691.34</v>
      </c>
      <c r="D10" s="68">
        <v>1600</v>
      </c>
      <c r="E10" s="33">
        <v>13154.36</v>
      </c>
      <c r="F10" s="68">
        <v>10700</v>
      </c>
      <c r="G10" s="33">
        <f>19097.31+2916</f>
        <v>22013.31</v>
      </c>
      <c r="H10" s="68">
        <v>0</v>
      </c>
      <c r="I10" s="33">
        <v>0</v>
      </c>
      <c r="J10" s="68">
        <v>0</v>
      </c>
      <c r="K10" s="33">
        <v>13580</v>
      </c>
      <c r="L10" s="68">
        <v>0</v>
      </c>
      <c r="M10" s="33">
        <v>1639.42</v>
      </c>
      <c r="N10" s="68">
        <v>0</v>
      </c>
      <c r="O10" s="37">
        <v>23537.04</v>
      </c>
      <c r="P10" s="34">
        <f>+O10+K10+I10+G10+E10+C10+M10</f>
        <v>714615.47</v>
      </c>
      <c r="Q10" s="34">
        <f t="shared" si="0"/>
        <v>-29056.469999999972</v>
      </c>
      <c r="R10" s="5"/>
    </row>
    <row r="11" spans="1:18" ht="17.25">
      <c r="A11" s="31" t="s">
        <v>107</v>
      </c>
      <c r="B11" s="68">
        <v>444172</v>
      </c>
      <c r="C11" s="33">
        <f>19692.41+606803.85</f>
        <v>626496.26</v>
      </c>
      <c r="D11" s="68">
        <v>12000</v>
      </c>
      <c r="E11" s="33">
        <v>7022.8</v>
      </c>
      <c r="F11" s="68">
        <v>90000</v>
      </c>
      <c r="G11" s="33">
        <v>93901.34</v>
      </c>
      <c r="H11" s="68">
        <v>0</v>
      </c>
      <c r="I11" s="33">
        <v>0</v>
      </c>
      <c r="J11" s="68">
        <f>5000+10000</f>
        <v>15000</v>
      </c>
      <c r="K11" s="33">
        <f>749+15967.5</f>
        <v>16716.5</v>
      </c>
      <c r="L11" s="68">
        <v>0</v>
      </c>
      <c r="M11" s="33">
        <v>2438.43</v>
      </c>
      <c r="N11" s="68">
        <v>0</v>
      </c>
      <c r="O11" s="37">
        <v>24148.77</v>
      </c>
      <c r="P11" s="34">
        <f>+O11+K11+I11+G11+E11+C11+M11</f>
        <v>770724.1</v>
      </c>
      <c r="Q11" s="34">
        <f t="shared" si="0"/>
        <v>-209552.09999999998</v>
      </c>
      <c r="R11" s="5"/>
    </row>
    <row r="12" spans="1:18" ht="17.25">
      <c r="A12" s="31" t="s">
        <v>12</v>
      </c>
      <c r="B12" s="68">
        <v>196210</v>
      </c>
      <c r="C12" s="33">
        <f>6239.07+183000.51</f>
        <v>189239.58000000002</v>
      </c>
      <c r="D12" s="68">
        <v>6000</v>
      </c>
      <c r="E12" s="33">
        <f>358.95+1400</f>
        <v>1758.95</v>
      </c>
      <c r="F12" s="68">
        <f>168500-70000</f>
        <v>98500</v>
      </c>
      <c r="G12" s="33">
        <v>95236.88</v>
      </c>
      <c r="H12" s="68">
        <v>0</v>
      </c>
      <c r="I12" s="33">
        <v>3000</v>
      </c>
      <c r="J12" s="68">
        <v>450000</v>
      </c>
      <c r="K12" s="33">
        <f>3906.4+475932.21</f>
        <v>479838.61000000004</v>
      </c>
      <c r="L12" s="68">
        <v>0</v>
      </c>
      <c r="M12" s="33">
        <v>0</v>
      </c>
      <c r="N12" s="68">
        <v>0</v>
      </c>
      <c r="O12" s="37">
        <v>9160.9</v>
      </c>
      <c r="P12" s="34">
        <f>+O12+K12+I12+G12+E12+C12</f>
        <v>778234.9200000002</v>
      </c>
      <c r="Q12" s="34">
        <f t="shared" si="0"/>
        <v>-27524.92000000016</v>
      </c>
      <c r="R12" s="5"/>
    </row>
    <row r="13" spans="1:18" ht="17.25">
      <c r="A13" s="31" t="s">
        <v>79</v>
      </c>
      <c r="B13" s="68">
        <v>521894</v>
      </c>
      <c r="C13" s="33">
        <f>18060.23+610684.33</f>
        <v>628744.5599999999</v>
      </c>
      <c r="D13" s="68">
        <v>16449</v>
      </c>
      <c r="E13" s="33">
        <v>21613.31</v>
      </c>
      <c r="F13" s="68">
        <v>55000</v>
      </c>
      <c r="G13" s="33">
        <v>54120.36</v>
      </c>
      <c r="H13" s="68">
        <v>102000</v>
      </c>
      <c r="I13" s="33">
        <v>80578.01</v>
      </c>
      <c r="J13" s="68">
        <v>0</v>
      </c>
      <c r="K13" s="33">
        <v>18553.84</v>
      </c>
      <c r="L13" s="68">
        <v>0</v>
      </c>
      <c r="M13" s="33">
        <v>23225</v>
      </c>
      <c r="N13" s="68">
        <v>0</v>
      </c>
      <c r="O13" s="37">
        <v>20998.23</v>
      </c>
      <c r="P13" s="34">
        <f>+O13+K13+I13+G13+E13+C13+M13</f>
        <v>847833.3099999999</v>
      </c>
      <c r="Q13" s="34">
        <f>+B13+D13+F13+H13+J13+N13-P13+L13</f>
        <v>-152490.30999999994</v>
      </c>
      <c r="R13" s="5"/>
    </row>
    <row r="14" spans="1:18" ht="17.25">
      <c r="A14" s="31" t="s">
        <v>78</v>
      </c>
      <c r="B14" s="68">
        <v>300165</v>
      </c>
      <c r="C14" s="33">
        <f>10452.06+328806.94</f>
        <v>339259</v>
      </c>
      <c r="D14" s="68">
        <f>35000-15000</f>
        <v>20000</v>
      </c>
      <c r="E14" s="33">
        <v>4227.49</v>
      </c>
      <c r="F14" s="68">
        <f>646000+250000</f>
        <v>896000</v>
      </c>
      <c r="G14" s="33">
        <f>19421.68+737684.96</f>
        <v>757106.64</v>
      </c>
      <c r="H14" s="68">
        <f>3000+135000</f>
        <v>138000</v>
      </c>
      <c r="I14" s="33">
        <f>14423.2+114345.58</f>
        <v>128768.78</v>
      </c>
      <c r="J14" s="68">
        <v>0</v>
      </c>
      <c r="K14" s="33">
        <v>696.36</v>
      </c>
      <c r="L14" s="68">
        <v>0</v>
      </c>
      <c r="M14" s="33">
        <v>1180</v>
      </c>
      <c r="N14" s="68">
        <v>0</v>
      </c>
      <c r="O14" s="37">
        <v>32535.46</v>
      </c>
      <c r="P14" s="34">
        <f>+O14+K14+I14+G14+E14+C14+M14</f>
        <v>1263773.73</v>
      </c>
      <c r="Q14" s="34">
        <f t="shared" si="0"/>
        <v>90391.27000000002</v>
      </c>
      <c r="R14" s="5"/>
    </row>
    <row r="15" spans="1:18" ht="17.25">
      <c r="A15" s="31" t="s">
        <v>108</v>
      </c>
      <c r="B15" s="32">
        <v>64247</v>
      </c>
      <c r="C15" s="33">
        <f>2105.56+64664.19</f>
        <v>66769.75</v>
      </c>
      <c r="D15" s="32">
        <v>2000</v>
      </c>
      <c r="E15" s="33">
        <v>0</v>
      </c>
      <c r="F15" s="32">
        <v>6300</v>
      </c>
      <c r="G15" s="33">
        <v>7717.31</v>
      </c>
      <c r="H15" s="32">
        <v>0</v>
      </c>
      <c r="I15" s="33">
        <v>0</v>
      </c>
      <c r="J15" s="32">
        <v>0</v>
      </c>
      <c r="K15" s="33">
        <v>0</v>
      </c>
      <c r="L15" s="68">
        <v>0</v>
      </c>
      <c r="M15" s="37">
        <v>0</v>
      </c>
      <c r="N15" s="32">
        <v>0</v>
      </c>
      <c r="O15" s="37">
        <v>2644.05</v>
      </c>
      <c r="P15" s="34">
        <f>+O15+K15+I15+G15+E15+C15</f>
        <v>77131.11</v>
      </c>
      <c r="Q15" s="34">
        <f t="shared" si="0"/>
        <v>-4584.110000000001</v>
      </c>
      <c r="R15" s="5"/>
    </row>
    <row r="16" spans="1:18" ht="18" thickBot="1">
      <c r="A16" s="38" t="s">
        <v>11</v>
      </c>
      <c r="B16" s="39">
        <f>SUM(B7:B15)</f>
        <v>3442204</v>
      </c>
      <c r="C16" s="40">
        <f aca="true" t="shared" si="1" ref="B16:Q16">SUM(C7:C15)</f>
        <v>3738336.81</v>
      </c>
      <c r="D16" s="39">
        <f t="shared" si="1"/>
        <v>74214</v>
      </c>
      <c r="E16" s="40">
        <f t="shared" si="1"/>
        <v>91444.47</v>
      </c>
      <c r="F16" s="39">
        <f t="shared" si="1"/>
        <v>1753614</v>
      </c>
      <c r="G16" s="40">
        <f t="shared" si="1"/>
        <v>1950412.0500000003</v>
      </c>
      <c r="H16" s="39">
        <f t="shared" si="1"/>
        <v>720000</v>
      </c>
      <c r="I16" s="40">
        <f t="shared" si="1"/>
        <v>1089875.23</v>
      </c>
      <c r="J16" s="39">
        <f t="shared" si="1"/>
        <v>665000</v>
      </c>
      <c r="K16" s="40">
        <f t="shared" si="1"/>
        <v>542340.7000000001</v>
      </c>
      <c r="L16" s="39">
        <f t="shared" si="1"/>
        <v>0</v>
      </c>
      <c r="M16" s="40">
        <f t="shared" si="1"/>
        <v>89082.70999999999</v>
      </c>
      <c r="N16" s="39">
        <f t="shared" si="1"/>
        <v>250000</v>
      </c>
      <c r="O16" s="40">
        <f t="shared" si="1"/>
        <v>275097.97</v>
      </c>
      <c r="P16" s="42">
        <f t="shared" si="1"/>
        <v>7776589.94</v>
      </c>
      <c r="Q16" s="42">
        <f t="shared" si="1"/>
        <v>-871557.9400000004</v>
      </c>
      <c r="R16" s="5"/>
    </row>
    <row r="17" spans="1:17" ht="17.25" thickBot="1">
      <c r="A17" s="43" t="s">
        <v>31</v>
      </c>
      <c r="B17" s="44"/>
      <c r="C17" s="143">
        <f>+C16/B16</f>
        <v>1.0860299999651386</v>
      </c>
      <c r="D17" s="46"/>
      <c r="E17" s="143">
        <f>+E16/D16</f>
        <v>1.2321727706362682</v>
      </c>
      <c r="F17" s="143"/>
      <c r="G17" s="143">
        <f>+G16/F16</f>
        <v>1.1122242694230318</v>
      </c>
      <c r="H17" s="143"/>
      <c r="I17" s="143">
        <f>+I16/H16</f>
        <v>1.5137155972222223</v>
      </c>
      <c r="J17" s="143"/>
      <c r="K17" s="143">
        <f>+K16/J16</f>
        <v>0.8155499248120301</v>
      </c>
      <c r="L17" s="151"/>
      <c r="M17" s="151"/>
      <c r="N17" s="143"/>
      <c r="O17" s="152">
        <f>+O16/N16</f>
        <v>1.1003918799999999</v>
      </c>
      <c r="P17" s="58"/>
      <c r="Q17" s="58"/>
    </row>
    <row r="18" spans="1:17" ht="15.75" customHeight="1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2"/>
      <c r="Q18" s="58"/>
    </row>
    <row r="19" ht="16.5" customHeight="1">
      <c r="P19" s="52"/>
    </row>
    <row r="21" ht="17.25">
      <c r="P21" s="69"/>
    </row>
    <row r="22" ht="16.5">
      <c r="P22" s="70"/>
    </row>
    <row r="23" ht="16.5">
      <c r="P23" s="58"/>
    </row>
    <row r="24" ht="16.5">
      <c r="P24" s="58"/>
    </row>
    <row r="25" ht="16.5">
      <c r="P25" s="58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ht="16.5">
      <c r="C48" s="48"/>
    </row>
    <row r="50" spans="1:4" ht="16.5">
      <c r="A50" s="62" t="s">
        <v>27</v>
      </c>
      <c r="B50" s="71" t="s">
        <v>28</v>
      </c>
      <c r="C50" s="62" t="s">
        <v>29</v>
      </c>
      <c r="D50" s="62"/>
    </row>
    <row r="51" spans="1:3" ht="17.25">
      <c r="A51" s="64">
        <f>+B16</f>
        <v>3442204</v>
      </c>
      <c r="B51" s="65">
        <f>+C16</f>
        <v>3738336.81</v>
      </c>
      <c r="C51" s="62" t="s">
        <v>1</v>
      </c>
    </row>
    <row r="52" spans="1:3" ht="17.25">
      <c r="A52" s="64">
        <f>+D16</f>
        <v>74214</v>
      </c>
      <c r="B52" s="65">
        <f>+E16</f>
        <v>91444.47</v>
      </c>
      <c r="C52" s="62" t="s">
        <v>2</v>
      </c>
    </row>
    <row r="53" spans="1:3" ht="17.25">
      <c r="A53" s="64">
        <f>+F16</f>
        <v>1753614</v>
      </c>
      <c r="B53" s="65">
        <f>+G16</f>
        <v>1950412.0500000003</v>
      </c>
      <c r="C53" s="62" t="s">
        <v>3</v>
      </c>
    </row>
    <row r="54" spans="1:3" ht="17.25">
      <c r="A54" s="64">
        <f>+H16</f>
        <v>720000</v>
      </c>
      <c r="B54" s="65">
        <f>+I16</f>
        <v>1089875.23</v>
      </c>
      <c r="C54" s="62" t="s">
        <v>35</v>
      </c>
    </row>
    <row r="55" spans="1:3" ht="17.25">
      <c r="A55" s="64">
        <f>+J16</f>
        <v>665000</v>
      </c>
      <c r="B55" s="65">
        <f>+K16</f>
        <v>542340.7000000001</v>
      </c>
      <c r="C55" s="62" t="s">
        <v>33</v>
      </c>
    </row>
    <row r="56" spans="1:3" ht="17.25">
      <c r="A56" s="64">
        <v>0</v>
      </c>
      <c r="B56" s="65">
        <f>+M16</f>
        <v>89082.70999999999</v>
      </c>
      <c r="C56" s="62" t="s">
        <v>104</v>
      </c>
    </row>
    <row r="57" spans="1:3" ht="17.25">
      <c r="A57" s="64">
        <f>+N16</f>
        <v>250000</v>
      </c>
      <c r="B57" s="65">
        <f>+O16</f>
        <v>275097.97</v>
      </c>
      <c r="C57" s="62" t="s">
        <v>36</v>
      </c>
    </row>
    <row r="58" spans="1:3" ht="17.25">
      <c r="A58" s="64"/>
      <c r="B58" s="64"/>
      <c r="C58" s="62"/>
    </row>
    <row r="59" spans="1:3" ht="17.25">
      <c r="A59" s="64">
        <v>866913</v>
      </c>
      <c r="B59" s="65">
        <v>406071.92</v>
      </c>
      <c r="C59" s="62"/>
    </row>
    <row r="60" spans="1:3" ht="17.25">
      <c r="A60" s="64"/>
      <c r="B60" s="64"/>
      <c r="C60" s="62"/>
    </row>
    <row r="61" spans="1:2" ht="17.25">
      <c r="A61" s="64"/>
      <c r="B61" s="64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8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A14" sqref="A14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421875" style="1" customWidth="1"/>
    <col min="4" max="4" width="7.8515625" style="1" customWidth="1"/>
    <col min="5" max="5" width="10.421875" style="1" customWidth="1"/>
    <col min="6" max="6" width="9.28125" style="1" customWidth="1"/>
    <col min="7" max="7" width="12.00390625" style="1" customWidth="1"/>
    <col min="8" max="8" width="6.8515625" style="1" customWidth="1"/>
    <col min="9" max="9" width="8.7109375" style="1" customWidth="1"/>
    <col min="10" max="10" width="7.57421875" style="1" customWidth="1"/>
    <col min="11" max="11" width="9.28125" style="1" customWidth="1"/>
    <col min="12" max="12" width="7.57421875" style="1" customWidth="1"/>
    <col min="13" max="13" width="9.28125" style="1" customWidth="1"/>
    <col min="14" max="14" width="9.00390625" style="1" customWidth="1"/>
    <col min="15" max="16" width="11.8515625" style="1" customWidth="1"/>
    <col min="17" max="17" width="12.140625" style="1" customWidth="1"/>
    <col min="18" max="18" width="13.8515625" style="1" bestFit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50" t="s">
        <v>0</v>
      </c>
      <c r="B2" s="164" t="s">
        <v>109</v>
      </c>
      <c r="C2" s="175"/>
      <c r="D2" s="175"/>
      <c r="E2" s="175"/>
      <c r="F2" s="175"/>
      <c r="G2" s="154"/>
      <c r="L2" s="173" t="s">
        <v>24</v>
      </c>
      <c r="M2" s="174"/>
      <c r="N2" s="157">
        <v>40513</v>
      </c>
      <c r="O2" s="73"/>
    </row>
    <row r="3" spans="2:5" ht="12.75" customHeight="1">
      <c r="B3" s="176"/>
      <c r="C3" s="176"/>
      <c r="D3" s="176"/>
      <c r="E3" s="176"/>
    </row>
    <row r="4" spans="15:16" ht="18" thickBot="1">
      <c r="O4" s="74"/>
      <c r="P4" s="65"/>
    </row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75" t="s">
        <v>131</v>
      </c>
      <c r="I5" s="75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605403</v>
      </c>
      <c r="C7" s="33">
        <f>3844.37+151228.95+2928.79+64101.94+8643.38+168250.26+3+79962.79+1702.95+41341.03</f>
        <v>522007.4600000001</v>
      </c>
      <c r="D7" s="68">
        <f>2500+100000</f>
        <v>102500</v>
      </c>
      <c r="E7" s="33">
        <v>5288.11</v>
      </c>
      <c r="F7" s="68">
        <f>97353+110000+100000</f>
        <v>307353</v>
      </c>
      <c r="G7" s="33">
        <f>445.28+15579.97</f>
        <v>16025.25</v>
      </c>
      <c r="H7" s="68">
        <v>0</v>
      </c>
      <c r="I7" s="33">
        <v>0</v>
      </c>
      <c r="J7" s="68">
        <f>4070+80000</f>
        <v>84070</v>
      </c>
      <c r="K7" s="33">
        <f>7148.29+204.01+171.75</f>
        <v>7524.05</v>
      </c>
      <c r="L7" s="68">
        <v>0</v>
      </c>
      <c r="M7" s="33">
        <v>0</v>
      </c>
      <c r="N7" s="68">
        <f>306720+438000</f>
        <v>744720</v>
      </c>
      <c r="O7" s="33">
        <v>90756.01</v>
      </c>
      <c r="P7" s="34">
        <f>+C7+E7+G7+K7+O7+I7</f>
        <v>641600.8800000001</v>
      </c>
      <c r="Q7" s="34">
        <f aca="true" t="shared" si="0" ref="Q7:Q13">+B7+D7+F7+J7+N7+H7-P7</f>
        <v>1202445.1199999999</v>
      </c>
      <c r="R7" s="5"/>
    </row>
    <row r="8" spans="1:18" ht="17.25">
      <c r="A8" s="31" t="s">
        <v>6</v>
      </c>
      <c r="B8" s="32">
        <v>218528</v>
      </c>
      <c r="C8" s="33">
        <f>12468.37+270903.69+3920.78+83389.41</f>
        <v>370682.25</v>
      </c>
      <c r="D8" s="68">
        <v>1000</v>
      </c>
      <c r="E8" s="33">
        <f>115+37.54</f>
        <v>152.54</v>
      </c>
      <c r="F8" s="68">
        <v>1130050</v>
      </c>
      <c r="G8" s="33">
        <f>1421312.01+3279.8</f>
        <v>1424591.81</v>
      </c>
      <c r="H8" s="68">
        <v>0</v>
      </c>
      <c r="I8" s="33">
        <v>0</v>
      </c>
      <c r="J8" s="68">
        <v>0</v>
      </c>
      <c r="K8" s="33">
        <v>4970</v>
      </c>
      <c r="L8" s="68">
        <v>0</v>
      </c>
      <c r="M8" s="33">
        <v>0</v>
      </c>
      <c r="N8" s="68">
        <v>0</v>
      </c>
      <c r="O8" s="33">
        <v>13821.76</v>
      </c>
      <c r="P8" s="34">
        <f>+C8+E8+G8+K8+O8+I8</f>
        <v>1814218.36</v>
      </c>
      <c r="Q8" s="34">
        <f t="shared" si="0"/>
        <v>-464640.3600000001</v>
      </c>
      <c r="R8" s="5"/>
    </row>
    <row r="9" spans="1:18" ht="17.25">
      <c r="A9" s="31" t="s">
        <v>103</v>
      </c>
      <c r="B9" s="32">
        <v>812169</v>
      </c>
      <c r="C9" s="33">
        <f>23620.07+556559.11+7697.57+155376.79+3726.7+43444.91+5593.98+111201.41</f>
        <v>907220.5399999999</v>
      </c>
      <c r="D9" s="68">
        <v>5000</v>
      </c>
      <c r="E9" s="33">
        <f>11610.08+16</f>
        <v>11626.08</v>
      </c>
      <c r="F9" s="68">
        <f>60931+105000</f>
        <v>165931</v>
      </c>
      <c r="G9" s="33">
        <f>37056.44+369</f>
        <v>37425.44</v>
      </c>
      <c r="H9" s="68">
        <v>0</v>
      </c>
      <c r="I9" s="33">
        <v>0</v>
      </c>
      <c r="J9" s="68">
        <v>16000</v>
      </c>
      <c r="K9" s="33">
        <f>16649.42+18710.13</f>
        <v>35359.55</v>
      </c>
      <c r="L9" s="68">
        <v>0</v>
      </c>
      <c r="M9" s="33">
        <v>0</v>
      </c>
      <c r="N9" s="68">
        <v>0</v>
      </c>
      <c r="O9" s="33">
        <v>44125.13</v>
      </c>
      <c r="P9" s="34">
        <f>+C9+E9+G9+K9+O9+I9</f>
        <v>1035756.7399999999</v>
      </c>
      <c r="Q9" s="34">
        <f t="shared" si="0"/>
        <v>-36656.739999999874</v>
      </c>
      <c r="R9" s="5"/>
    </row>
    <row r="10" spans="1:18" ht="17.25">
      <c r="A10" s="31" t="s">
        <v>7</v>
      </c>
      <c r="B10" s="32">
        <v>352266</v>
      </c>
      <c r="C10" s="33">
        <f>11800.76+307056.05+191.2+2565.97+1256.79+24377.16</f>
        <v>347247.92999999993</v>
      </c>
      <c r="D10" s="68">
        <v>6720</v>
      </c>
      <c r="E10" s="33">
        <v>27921.82</v>
      </c>
      <c r="F10" s="68">
        <v>3500</v>
      </c>
      <c r="G10" s="33">
        <v>7165.78</v>
      </c>
      <c r="H10" s="68">
        <v>0</v>
      </c>
      <c r="I10" s="33">
        <v>0</v>
      </c>
      <c r="J10" s="68">
        <v>0</v>
      </c>
      <c r="K10" s="33">
        <v>3411.04</v>
      </c>
      <c r="L10" s="68">
        <v>0</v>
      </c>
      <c r="M10" s="33">
        <v>173.94</v>
      </c>
      <c r="N10" s="68">
        <v>0</v>
      </c>
      <c r="O10" s="33">
        <v>12716.21</v>
      </c>
      <c r="P10" s="34">
        <f>+C10+E10+G10+K10+O10+I10+M10</f>
        <v>398636.72</v>
      </c>
      <c r="Q10" s="34">
        <f t="shared" si="0"/>
        <v>-36150.71999999997</v>
      </c>
      <c r="R10" s="5"/>
    </row>
    <row r="11" spans="1:18" ht="17.25">
      <c r="A11" s="31" t="s">
        <v>9</v>
      </c>
      <c r="B11" s="32">
        <v>674011</v>
      </c>
      <c r="C11" s="33">
        <f>25398.95+587204.71</f>
        <v>612603.6599999999</v>
      </c>
      <c r="D11" s="68">
        <v>0</v>
      </c>
      <c r="E11" s="33">
        <f>1557.5+4523.04</f>
        <v>6080.54</v>
      </c>
      <c r="F11" s="68">
        <f>116833+70000</f>
        <v>186833</v>
      </c>
      <c r="G11" s="33">
        <f>9254.25+360014.51</f>
        <v>369268.76</v>
      </c>
      <c r="H11" s="68">
        <v>0</v>
      </c>
      <c r="I11" s="33">
        <v>1000</v>
      </c>
      <c r="J11" s="68">
        <v>0</v>
      </c>
      <c r="K11" s="33">
        <v>15195.56</v>
      </c>
      <c r="L11" s="68">
        <v>0</v>
      </c>
      <c r="M11" s="33">
        <v>0</v>
      </c>
      <c r="N11" s="68">
        <v>0</v>
      </c>
      <c r="O11" s="33">
        <v>20206.19</v>
      </c>
      <c r="P11" s="34">
        <f>+C11+E11+G11+K11+O11+I11+M11</f>
        <v>1024354.71</v>
      </c>
      <c r="Q11" s="34">
        <f t="shared" si="0"/>
        <v>-163510.70999999996</v>
      </c>
      <c r="R11" s="5"/>
    </row>
    <row r="12" spans="1:18" ht="17.25">
      <c r="A12" s="31" t="s">
        <v>8</v>
      </c>
      <c r="B12" s="32">
        <v>675785</v>
      </c>
      <c r="C12" s="33">
        <f>28430.96+519349.88+2175.5+45358.5+3904.26+68061.46</f>
        <v>667280.5599999999</v>
      </c>
      <c r="D12" s="68">
        <f>254360+400000</f>
        <v>654360</v>
      </c>
      <c r="E12" s="33">
        <f>47428.21+727426.05</f>
        <v>774854.26</v>
      </c>
      <c r="F12" s="68">
        <v>42574</v>
      </c>
      <c r="G12" s="33">
        <f>750+197671.29</f>
        <v>198421.29</v>
      </c>
      <c r="H12" s="68">
        <v>0</v>
      </c>
      <c r="I12" s="33">
        <v>244</v>
      </c>
      <c r="J12" s="68">
        <v>0</v>
      </c>
      <c r="K12" s="33">
        <v>3910.9</v>
      </c>
      <c r="L12" s="68">
        <v>0</v>
      </c>
      <c r="M12" s="33">
        <v>0</v>
      </c>
      <c r="N12" s="68">
        <v>0</v>
      </c>
      <c r="O12" s="33">
        <v>55720.48</v>
      </c>
      <c r="P12" s="34">
        <f>+C12+E12+G12+K12+O12+I12+M12</f>
        <v>1700431.4899999998</v>
      </c>
      <c r="Q12" s="34">
        <f t="shared" si="0"/>
        <v>-327712.48999999976</v>
      </c>
      <c r="R12" s="5"/>
    </row>
    <row r="13" spans="1:18" ht="17.25">
      <c r="A13" s="31" t="s">
        <v>10</v>
      </c>
      <c r="B13" s="32">
        <v>140718</v>
      </c>
      <c r="C13" s="33">
        <f>4903.84+141265.75</f>
        <v>146169.59</v>
      </c>
      <c r="D13" s="68">
        <v>500</v>
      </c>
      <c r="E13" s="33">
        <v>748.47</v>
      </c>
      <c r="F13" s="68">
        <v>10300</v>
      </c>
      <c r="G13" s="33">
        <f>313.98+11414.77</f>
        <v>11728.75</v>
      </c>
      <c r="H13" s="68">
        <v>0</v>
      </c>
      <c r="I13" s="33">
        <v>0</v>
      </c>
      <c r="J13" s="68">
        <v>0</v>
      </c>
      <c r="K13" s="33">
        <f>166+691.85</f>
        <v>857.85</v>
      </c>
      <c r="L13" s="68">
        <v>0</v>
      </c>
      <c r="M13" s="33">
        <v>110</v>
      </c>
      <c r="N13" s="68">
        <v>0</v>
      </c>
      <c r="O13" s="33">
        <v>3600.1</v>
      </c>
      <c r="P13" s="34">
        <f>+C13+E13+G13+K13+O13+I13+M13</f>
        <v>163214.76</v>
      </c>
      <c r="Q13" s="34">
        <f t="shared" si="0"/>
        <v>-11696.76000000001</v>
      </c>
      <c r="R13" s="5"/>
    </row>
    <row r="14" spans="1:18" ht="18" thickBot="1">
      <c r="A14" s="38" t="s">
        <v>11</v>
      </c>
      <c r="B14" s="39">
        <f aca="true" t="shared" si="1" ref="B14:Q14">SUM(B7:B13)</f>
        <v>3478880</v>
      </c>
      <c r="C14" s="40">
        <f t="shared" si="1"/>
        <v>3573211.9899999998</v>
      </c>
      <c r="D14" s="39">
        <f t="shared" si="1"/>
        <v>770080</v>
      </c>
      <c r="E14" s="40">
        <f t="shared" si="1"/>
        <v>826671.82</v>
      </c>
      <c r="F14" s="77">
        <f t="shared" si="1"/>
        <v>1846541</v>
      </c>
      <c r="G14" s="40">
        <f t="shared" si="1"/>
        <v>2064627.08</v>
      </c>
      <c r="H14" s="77">
        <f t="shared" si="1"/>
        <v>0</v>
      </c>
      <c r="I14" s="40">
        <f t="shared" si="1"/>
        <v>1244</v>
      </c>
      <c r="J14" s="39">
        <f t="shared" si="1"/>
        <v>100070</v>
      </c>
      <c r="K14" s="40">
        <f t="shared" si="1"/>
        <v>71228.95000000001</v>
      </c>
      <c r="L14" s="39">
        <f>SUM(L7:L13)</f>
        <v>0</v>
      </c>
      <c r="M14" s="40">
        <f>SUM(M7:M13)</f>
        <v>283.94</v>
      </c>
      <c r="N14" s="39">
        <f t="shared" si="1"/>
        <v>744720</v>
      </c>
      <c r="O14" s="40">
        <f t="shared" si="1"/>
        <v>240945.88</v>
      </c>
      <c r="P14" s="42">
        <f t="shared" si="1"/>
        <v>6778213.66</v>
      </c>
      <c r="Q14" s="42">
        <f t="shared" si="1"/>
        <v>162077.3400000002</v>
      </c>
      <c r="R14" s="5"/>
    </row>
    <row r="15" spans="1:17" ht="17.25" thickBot="1">
      <c r="A15" s="43" t="s">
        <v>31</v>
      </c>
      <c r="B15" s="44"/>
      <c r="C15" s="143">
        <f>+C14/B14</f>
        <v>1.027115620544543</v>
      </c>
      <c r="D15" s="143"/>
      <c r="E15" s="143">
        <f>+E14/D14</f>
        <v>1.0734882349885726</v>
      </c>
      <c r="F15" s="143"/>
      <c r="G15" s="143">
        <f>+G14/F14</f>
        <v>1.118105192356953</v>
      </c>
      <c r="H15" s="45"/>
      <c r="I15" s="45"/>
      <c r="J15" s="45"/>
      <c r="K15" s="143">
        <f>+K14/J14</f>
        <v>0.7117912461277107</v>
      </c>
      <c r="L15" s="47"/>
      <c r="M15" s="47"/>
      <c r="N15" s="47"/>
      <c r="O15" s="145">
        <f>+O14/N14</f>
        <v>0.3235388870985068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4"/>
      <c r="Q16" s="5"/>
    </row>
    <row r="17" ht="16.5">
      <c r="P17" s="52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27</v>
      </c>
      <c r="B48" s="62" t="s">
        <v>28</v>
      </c>
      <c r="C48" s="62" t="s">
        <v>29</v>
      </c>
      <c r="D48" s="5"/>
    </row>
    <row r="49" spans="1:3" ht="16.5">
      <c r="A49" s="1">
        <f>+B14</f>
        <v>3478880</v>
      </c>
      <c r="B49" s="52">
        <f>+C14</f>
        <v>3573211.9899999998</v>
      </c>
      <c r="C49" s="62" t="s">
        <v>1</v>
      </c>
    </row>
    <row r="50" spans="1:3" ht="16.5">
      <c r="A50" s="1">
        <f>+D14</f>
        <v>770080</v>
      </c>
      <c r="B50" s="52">
        <f>+E14</f>
        <v>826671.82</v>
      </c>
      <c r="C50" s="62" t="s">
        <v>2</v>
      </c>
    </row>
    <row r="51" spans="1:3" ht="16.5">
      <c r="A51" s="1">
        <f>+F14</f>
        <v>1846541</v>
      </c>
      <c r="B51" s="52">
        <f>+G14</f>
        <v>2064627.08</v>
      </c>
      <c r="C51" s="62" t="s">
        <v>3</v>
      </c>
    </row>
    <row r="52" spans="1:3" ht="16.5" hidden="1">
      <c r="A52" s="78">
        <f>+H14</f>
        <v>0</v>
      </c>
      <c r="B52" s="52">
        <f>+I14</f>
        <v>1244</v>
      </c>
      <c r="C52" s="62" t="s">
        <v>35</v>
      </c>
    </row>
    <row r="53" spans="1:3" ht="16.5">
      <c r="A53" s="1">
        <f>+J14</f>
        <v>100070</v>
      </c>
      <c r="B53" s="5">
        <f>+K14</f>
        <v>71228.95000000001</v>
      </c>
      <c r="C53" s="62" t="s">
        <v>33</v>
      </c>
    </row>
    <row r="54" spans="1:3" ht="16.5">
      <c r="A54" s="1">
        <v>0</v>
      </c>
      <c r="B54" s="5">
        <f>+M14</f>
        <v>283.94</v>
      </c>
      <c r="C54" s="62" t="s">
        <v>104</v>
      </c>
    </row>
    <row r="55" spans="1:3" ht="17.25">
      <c r="A55" s="1">
        <f>+N14</f>
        <v>744720</v>
      </c>
      <c r="B55" s="65">
        <f>+O14</f>
        <v>240945.88</v>
      </c>
      <c r="C55" s="62" t="s">
        <v>36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N5:O5"/>
    <mergeCell ref="B5:C5"/>
    <mergeCell ref="D5:E5"/>
    <mergeCell ref="F5:G5"/>
    <mergeCell ref="L5:M5"/>
    <mergeCell ref="L2:M2"/>
    <mergeCell ref="B2:F2"/>
    <mergeCell ref="B3:E3"/>
    <mergeCell ref="J5:K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A13">
      <selection activeCell="G16" sqref="G16"/>
    </sheetView>
  </sheetViews>
  <sheetFormatPr defaultColWidth="11.421875" defaultRowHeight="15"/>
  <cols>
    <col min="1" max="1" width="17.7109375" style="1" customWidth="1"/>
    <col min="2" max="2" width="9.140625" style="1" customWidth="1"/>
    <col min="3" max="3" width="12.421875" style="1" customWidth="1"/>
    <col min="4" max="4" width="7.7109375" style="1" customWidth="1"/>
    <col min="5" max="5" width="10.28125" style="1" customWidth="1"/>
    <col min="6" max="6" width="9.140625" style="1" customWidth="1"/>
    <col min="7" max="7" width="12.00390625" style="1" customWidth="1"/>
    <col min="8" max="8" width="9.140625" style="1" customWidth="1"/>
    <col min="9" max="9" width="11.8515625" style="1" customWidth="1"/>
    <col min="10" max="10" width="7.00390625" style="1" customWidth="1"/>
    <col min="11" max="11" width="9.28125" style="1" customWidth="1"/>
    <col min="12" max="12" width="7.00390625" style="1" customWidth="1"/>
    <col min="13" max="13" width="9.140625" style="1" customWidth="1"/>
    <col min="14" max="14" width="7.7109375" style="1" customWidth="1"/>
    <col min="15" max="15" width="10.140625" style="1" customWidth="1"/>
    <col min="16" max="16" width="13.00390625" style="1" customWidth="1"/>
    <col min="17" max="17" width="12.8515625" style="1" customWidth="1"/>
    <col min="18" max="18" width="15.00390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110</v>
      </c>
      <c r="C2" s="164"/>
      <c r="D2" s="169"/>
      <c r="E2" s="169"/>
      <c r="I2" s="173" t="s">
        <v>24</v>
      </c>
      <c r="J2" s="173"/>
      <c r="K2" s="157">
        <v>40513</v>
      </c>
      <c r="L2" s="122"/>
      <c r="M2" s="122"/>
      <c r="N2" s="123"/>
      <c r="O2" s="56"/>
    </row>
    <row r="3" spans="2:4" ht="16.5">
      <c r="B3" s="177"/>
      <c r="C3" s="177"/>
      <c r="D3" s="67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f>1448146+200000</f>
        <v>1648146</v>
      </c>
      <c r="C7" s="33">
        <f>28705.68+825582.98+2499.79+82162.38</f>
        <v>938950.8300000001</v>
      </c>
      <c r="D7" s="32">
        <f>23000-10000</f>
        <v>13000</v>
      </c>
      <c r="E7" s="33">
        <v>41298.28</v>
      </c>
      <c r="F7" s="32">
        <f>464070+100000+100000</f>
        <v>664070</v>
      </c>
      <c r="G7" s="33">
        <f>5614.86+364535.1+10672.73+4638.28</f>
        <v>385460.97</v>
      </c>
      <c r="H7" s="32">
        <f>996418+100000+275000</f>
        <v>1371418</v>
      </c>
      <c r="I7" s="33">
        <f>40259.28+1123674.89+1650</f>
        <v>1165584.17</v>
      </c>
      <c r="J7" s="32">
        <v>25000</v>
      </c>
      <c r="K7" s="33">
        <f>1190+23024.16</f>
        <v>24214.16</v>
      </c>
      <c r="L7" s="32">
        <v>0</v>
      </c>
      <c r="M7" s="37">
        <v>13481.06</v>
      </c>
      <c r="N7" s="32">
        <v>350000</v>
      </c>
      <c r="O7" s="33">
        <v>184556.98</v>
      </c>
      <c r="P7" s="34">
        <f>+C7+E7+G7+I7+K7+O7+M7</f>
        <v>2753546.45</v>
      </c>
      <c r="Q7" s="34">
        <f aca="true" t="shared" si="0" ref="Q7:Q12">+B7+D7+F7+H7+J7+N7-P7</f>
        <v>1318087.5499999998</v>
      </c>
      <c r="R7" s="5"/>
    </row>
    <row r="8" spans="1:18" ht="17.25">
      <c r="A8" s="31" t="s">
        <v>76</v>
      </c>
      <c r="B8" s="32">
        <v>353044</v>
      </c>
      <c r="C8" s="33">
        <f>7257.98+286876+535.18+3877.9</f>
        <v>298547.06</v>
      </c>
      <c r="D8" s="32">
        <f>199000-110000</f>
        <v>89000</v>
      </c>
      <c r="E8" s="33">
        <v>103239.02</v>
      </c>
      <c r="F8" s="32">
        <f>540000+180000</f>
        <v>720000</v>
      </c>
      <c r="G8" s="33">
        <f>4960+602644.61</f>
        <v>607604.61</v>
      </c>
      <c r="H8" s="32">
        <f>3525000-130000-120000+50000+600000-1200000</f>
        <v>2725000</v>
      </c>
      <c r="I8" s="33">
        <f>11430.1+2233977.93</f>
        <v>2245408.0300000003</v>
      </c>
      <c r="J8" s="32">
        <v>0</v>
      </c>
      <c r="K8" s="33">
        <v>790.44</v>
      </c>
      <c r="L8" s="32">
        <v>0</v>
      </c>
      <c r="M8" s="37">
        <v>2972.15</v>
      </c>
      <c r="N8" s="32">
        <v>0</v>
      </c>
      <c r="O8" s="33">
        <v>76378.38</v>
      </c>
      <c r="P8" s="34">
        <f>+C8+E8+G8+I8+K8+O8+M8</f>
        <v>3334939.69</v>
      </c>
      <c r="Q8" s="34">
        <f t="shared" si="0"/>
        <v>552104.31</v>
      </c>
      <c r="R8" s="5"/>
    </row>
    <row r="9" spans="1:18" ht="17.25">
      <c r="A9" s="31" t="s">
        <v>83</v>
      </c>
      <c r="B9" s="32">
        <v>3664393</v>
      </c>
      <c r="C9" s="33">
        <f>87864.84+2485876.37</f>
        <v>2573741.21</v>
      </c>
      <c r="D9" s="32">
        <v>0</v>
      </c>
      <c r="E9" s="33">
        <v>7910.37</v>
      </c>
      <c r="F9" s="32">
        <v>86000</v>
      </c>
      <c r="G9" s="33">
        <v>707593.86</v>
      </c>
      <c r="H9" s="32">
        <f>779000+20000+600000</f>
        <v>1399000</v>
      </c>
      <c r="I9" s="33">
        <f>9240+1107435.42</f>
        <v>1116675.42</v>
      </c>
      <c r="J9" s="32">
        <v>0</v>
      </c>
      <c r="K9" s="33">
        <v>17228.36</v>
      </c>
      <c r="L9" s="32">
        <v>0</v>
      </c>
      <c r="M9" s="37">
        <v>3470.87</v>
      </c>
      <c r="N9" s="32">
        <v>0</v>
      </c>
      <c r="O9" s="33">
        <v>97398.79</v>
      </c>
      <c r="P9" s="34">
        <f>+C9+E9+G9+I9+K9+O9+M9</f>
        <v>4524018.88</v>
      </c>
      <c r="Q9" s="34">
        <f t="shared" si="0"/>
        <v>625374.1200000001</v>
      </c>
      <c r="R9" s="5"/>
    </row>
    <row r="10" spans="1:18" ht="17.25">
      <c r="A10" s="31" t="s">
        <v>125</v>
      </c>
      <c r="B10" s="32">
        <v>27130</v>
      </c>
      <c r="C10" s="33">
        <f>97470.21+2012385.87</f>
        <v>2109856.08</v>
      </c>
      <c r="D10" s="32">
        <v>6000</v>
      </c>
      <c r="E10" s="33">
        <v>1699</v>
      </c>
      <c r="F10" s="32">
        <v>28500</v>
      </c>
      <c r="G10" s="33">
        <f>1350+291989.27</f>
        <v>293339.27</v>
      </c>
      <c r="H10" s="32">
        <v>0</v>
      </c>
      <c r="I10" s="33">
        <v>71.63</v>
      </c>
      <c r="J10" s="32">
        <v>0</v>
      </c>
      <c r="K10" s="33">
        <v>0</v>
      </c>
      <c r="L10" s="32">
        <v>0</v>
      </c>
      <c r="M10" s="37">
        <v>962.25</v>
      </c>
      <c r="N10" s="32">
        <v>0</v>
      </c>
      <c r="O10" s="33">
        <v>0</v>
      </c>
      <c r="P10" s="34">
        <f>+C10+E10+G10+I10+K10+O10+M10</f>
        <v>2405928.23</v>
      </c>
      <c r="Q10" s="34">
        <f t="shared" si="0"/>
        <v>-2344298.23</v>
      </c>
      <c r="R10" s="5"/>
    </row>
    <row r="11" spans="1:18" ht="17.25">
      <c r="A11" s="31" t="s">
        <v>139</v>
      </c>
      <c r="B11" s="32">
        <v>572659</v>
      </c>
      <c r="C11" s="33">
        <f>35584.01+659393.82</f>
        <v>694977.83</v>
      </c>
      <c r="D11" s="32">
        <v>6000</v>
      </c>
      <c r="E11" s="33">
        <v>11694.17</v>
      </c>
      <c r="F11" s="32">
        <v>29000</v>
      </c>
      <c r="G11" s="33">
        <v>181096.5</v>
      </c>
      <c r="H11" s="32">
        <f>477000+320000</f>
        <v>797000</v>
      </c>
      <c r="I11" s="33">
        <f>83059+820135.01</f>
        <v>903194.01</v>
      </c>
      <c r="J11" s="32">
        <v>0</v>
      </c>
      <c r="K11" s="33">
        <v>3457.12</v>
      </c>
      <c r="L11" s="32">
        <v>0</v>
      </c>
      <c r="M11" s="37">
        <v>0</v>
      </c>
      <c r="N11" s="32">
        <v>0</v>
      </c>
      <c r="O11" s="33">
        <v>35645.39</v>
      </c>
      <c r="P11" s="34">
        <f>+C11+E11+G11+I11+K11+O11</f>
        <v>1830065.02</v>
      </c>
      <c r="Q11" s="34">
        <f t="shared" si="0"/>
        <v>-425406.02</v>
      </c>
      <c r="R11" s="5"/>
    </row>
    <row r="12" spans="1:18" ht="17.25" hidden="1">
      <c r="A12" s="31" t="s">
        <v>77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6265372</v>
      </c>
      <c r="C13" s="40">
        <f t="shared" si="1"/>
        <v>6616073.01</v>
      </c>
      <c r="D13" s="39">
        <f t="shared" si="1"/>
        <v>114000</v>
      </c>
      <c r="E13" s="40">
        <f t="shared" si="1"/>
        <v>165840.84</v>
      </c>
      <c r="F13" s="39">
        <f t="shared" si="1"/>
        <v>1527570</v>
      </c>
      <c r="G13" s="40">
        <f t="shared" si="1"/>
        <v>2175095.21</v>
      </c>
      <c r="H13" s="39">
        <f t="shared" si="1"/>
        <v>6292418</v>
      </c>
      <c r="I13" s="40">
        <f t="shared" si="1"/>
        <v>5430933.26</v>
      </c>
      <c r="J13" s="39">
        <f t="shared" si="1"/>
        <v>25000</v>
      </c>
      <c r="K13" s="40">
        <f>SUM(K7:K12)</f>
        <v>45690.08</v>
      </c>
      <c r="L13" s="39">
        <f>SUM(L7:L12)</f>
        <v>0</v>
      </c>
      <c r="M13" s="40">
        <f>SUM(M7:M12)</f>
        <v>20886.329999999998</v>
      </c>
      <c r="N13" s="39">
        <f t="shared" si="1"/>
        <v>350000</v>
      </c>
      <c r="O13" s="40">
        <f>SUM(O7:O12)</f>
        <v>393979.54000000004</v>
      </c>
      <c r="P13" s="42">
        <f>SUM(P7:P11)</f>
        <v>14848498.27</v>
      </c>
      <c r="Q13" s="42">
        <f t="shared" si="1"/>
        <v>-274138.27</v>
      </c>
      <c r="R13" s="5"/>
    </row>
    <row r="14" spans="1:17" ht="17.25" thickBot="1">
      <c r="A14" s="43" t="s">
        <v>31</v>
      </c>
      <c r="B14" s="44"/>
      <c r="C14" s="143">
        <f>+C13/B13</f>
        <v>1.055974491219356</v>
      </c>
      <c r="D14" s="45"/>
      <c r="E14" s="143">
        <f>+E13/D13</f>
        <v>1.4547442105263158</v>
      </c>
      <c r="F14" s="45"/>
      <c r="G14" s="143">
        <f>+G13/F13</f>
        <v>1.423892332266279</v>
      </c>
      <c r="H14" s="45"/>
      <c r="I14" s="143">
        <f>+I13/H13</f>
        <v>0.8630916223302393</v>
      </c>
      <c r="J14" s="45"/>
      <c r="K14" s="46">
        <f>+K13/J13</f>
        <v>1.8276032</v>
      </c>
      <c r="L14" s="47"/>
      <c r="M14" s="47"/>
      <c r="N14" s="45"/>
      <c r="O14" s="145">
        <f>+O13/N13</f>
        <v>1.1256558285714287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</row>
    <row r="16" spans="1:16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33" spans="5:8" ht="16.5">
      <c r="E33" s="59"/>
      <c r="F33" s="59"/>
      <c r="G33" s="60"/>
      <c r="H33" s="60"/>
    </row>
    <row r="34" spans="5:8" ht="16.5">
      <c r="E34" s="61"/>
      <c r="F34" s="61"/>
      <c r="G34" s="61"/>
      <c r="H34" s="61"/>
    </row>
    <row r="39" spans="1:6" ht="16.5">
      <c r="A39" s="53"/>
      <c r="B39" s="53"/>
      <c r="C39" s="53"/>
      <c r="D39" s="53"/>
      <c r="E39" s="53"/>
      <c r="F39" s="53"/>
    </row>
    <row r="40" ht="16.5">
      <c r="C40" s="48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5" ht="16.5">
      <c r="A48" s="62" t="s">
        <v>27</v>
      </c>
      <c r="B48" s="62" t="s">
        <v>28</v>
      </c>
      <c r="C48" s="62" t="s">
        <v>29</v>
      </c>
      <c r="D48" s="62"/>
      <c r="E48" s="63"/>
    </row>
    <row r="49" spans="1:3" ht="17.25">
      <c r="A49" s="64">
        <f>+B13</f>
        <v>6265372</v>
      </c>
      <c r="B49" s="65">
        <f>+C13</f>
        <v>6616073.01</v>
      </c>
      <c r="C49" s="62" t="s">
        <v>1</v>
      </c>
    </row>
    <row r="50" spans="1:3" ht="17.25">
      <c r="A50" s="64">
        <f>+D13</f>
        <v>114000</v>
      </c>
      <c r="B50" s="65">
        <f>+E13</f>
        <v>165840.84</v>
      </c>
      <c r="C50" s="62" t="s">
        <v>2</v>
      </c>
    </row>
    <row r="51" spans="1:3" ht="17.25">
      <c r="A51" s="64">
        <f>+F13</f>
        <v>1527570</v>
      </c>
      <c r="B51" s="65">
        <f>+G13</f>
        <v>2175095.21</v>
      </c>
      <c r="C51" s="62" t="s">
        <v>3</v>
      </c>
    </row>
    <row r="52" spans="1:3" ht="17.25">
      <c r="A52" s="64">
        <f>+H13</f>
        <v>6292418</v>
      </c>
      <c r="B52" s="65">
        <f>+I13</f>
        <v>5430933.26</v>
      </c>
      <c r="C52" s="62" t="s">
        <v>35</v>
      </c>
    </row>
    <row r="53" spans="1:3" ht="17.25">
      <c r="A53" s="64">
        <f>+J13</f>
        <v>25000</v>
      </c>
      <c r="B53" s="65">
        <f>+K13</f>
        <v>45690.08</v>
      </c>
      <c r="C53" s="62" t="s">
        <v>33</v>
      </c>
    </row>
    <row r="54" spans="1:3" ht="17.25">
      <c r="A54" s="66">
        <f>+L13</f>
        <v>0</v>
      </c>
      <c r="B54" s="65">
        <f>+M13</f>
        <v>20886.329999999998</v>
      </c>
      <c r="C54" s="62" t="s">
        <v>97</v>
      </c>
    </row>
    <row r="55" spans="1:3" ht="17.25">
      <c r="A55" s="64">
        <f>+N13</f>
        <v>350000</v>
      </c>
      <c r="B55" s="65">
        <f>+O13</f>
        <v>393979.54000000004</v>
      </c>
      <c r="C55" s="62" t="s">
        <v>36</v>
      </c>
    </row>
    <row r="56" spans="1:3" ht="17.25">
      <c r="A56" s="64"/>
      <c r="B56" s="64"/>
      <c r="C56" s="62"/>
    </row>
    <row r="57" spans="1:2" ht="16.5">
      <c r="A57" s="1">
        <v>2809993</v>
      </c>
      <c r="B57" s="5">
        <v>749308.3</v>
      </c>
    </row>
  </sheetData>
  <mergeCells count="10">
    <mergeCell ref="I2:J2"/>
    <mergeCell ref="B3:C3"/>
    <mergeCell ref="N5:O5"/>
    <mergeCell ref="J5:K5"/>
    <mergeCell ref="B5:C5"/>
    <mergeCell ref="D5:E5"/>
    <mergeCell ref="F5:G5"/>
    <mergeCell ref="H5:I5"/>
    <mergeCell ref="L5:M5"/>
    <mergeCell ref="B2:E2"/>
  </mergeCells>
  <printOptions/>
  <pageMargins left="0.82" right="0.54" top="0.92" bottom="0.61" header="0.31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A4">
      <selection activeCell="R5" sqref="R5"/>
    </sheetView>
  </sheetViews>
  <sheetFormatPr defaultColWidth="11.421875" defaultRowHeight="15"/>
  <cols>
    <col min="1" max="1" width="13.57421875" style="1" customWidth="1"/>
    <col min="2" max="2" width="9.28125" style="1" customWidth="1"/>
    <col min="3" max="3" width="12.28125" style="1" customWidth="1"/>
    <col min="4" max="4" width="7.8515625" style="1" customWidth="1"/>
    <col min="5" max="5" width="10.28125" style="1" customWidth="1"/>
    <col min="6" max="6" width="9.00390625" style="1" customWidth="1"/>
    <col min="7" max="7" width="12.28125" style="1" customWidth="1"/>
    <col min="8" max="8" width="7.57421875" style="1" customWidth="1"/>
    <col min="9" max="9" width="9.57421875" style="1" customWidth="1"/>
    <col min="10" max="10" width="6.7109375" style="1" customWidth="1"/>
    <col min="11" max="11" width="11.00390625" style="1" customWidth="1"/>
    <col min="12" max="12" width="10.28125" style="1" customWidth="1"/>
    <col min="13" max="13" width="12.57421875" style="1" customWidth="1"/>
    <col min="14" max="14" width="9.28125" style="1" customWidth="1"/>
    <col min="15" max="15" width="10.140625" style="1" customWidth="1"/>
    <col min="16" max="16" width="12.8515625" style="1" customWidth="1"/>
    <col min="17" max="17" width="12.28125" style="1" customWidth="1"/>
    <col min="18" max="18" width="15.00390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138</v>
      </c>
      <c r="C2" s="179"/>
      <c r="D2" s="179"/>
      <c r="E2" s="169"/>
      <c r="F2" s="169"/>
      <c r="L2" s="173" t="s">
        <v>24</v>
      </c>
      <c r="M2" s="174"/>
      <c r="N2" s="157">
        <v>40513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82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443338</v>
      </c>
      <c r="C7" s="33">
        <f>4642.31+150910.94+2831.18+51387.13+7691.09+251559.44</f>
        <v>469022.08999999997</v>
      </c>
      <c r="D7" s="32">
        <f>20000-10000</f>
        <v>10000</v>
      </c>
      <c r="E7" s="33">
        <f>802+21547.14+201.45</f>
        <v>22550.59</v>
      </c>
      <c r="F7" s="32">
        <f>177330+300000</f>
        <v>477330</v>
      </c>
      <c r="G7" s="33">
        <f>3198.51+257287.94+20291.09</f>
        <v>280777.54000000004</v>
      </c>
      <c r="H7" s="32">
        <v>150000</v>
      </c>
      <c r="I7" s="37">
        <f>7150+1100</f>
        <v>8250</v>
      </c>
      <c r="J7" s="32">
        <v>65000</v>
      </c>
      <c r="K7" s="33">
        <v>3436.71</v>
      </c>
      <c r="L7" s="32">
        <f>240000+650000</f>
        <v>890000</v>
      </c>
      <c r="M7" s="33">
        <f>16555.14+726598.56</f>
        <v>743153.7000000001</v>
      </c>
      <c r="N7" s="32">
        <v>238016</v>
      </c>
      <c r="O7" s="33">
        <v>130346.54</v>
      </c>
      <c r="P7" s="34">
        <f>+O7+M7+K7+G7+E7+C7+I7</f>
        <v>1657537.1700000004</v>
      </c>
      <c r="Q7" s="34">
        <f>+B7+D7+F7+J7+L7+N7-P7+H7</f>
        <v>616146.8299999996</v>
      </c>
      <c r="R7" s="5"/>
    </row>
    <row r="8" spans="1:18" ht="17.25">
      <c r="A8" s="31" t="s">
        <v>14</v>
      </c>
      <c r="B8" s="32">
        <v>1060153</v>
      </c>
      <c r="C8" s="33">
        <f>6939.69+248153.1+20627.45+397786.52+14461.12+358307.02+2100.37+41324.88</f>
        <v>1089700.15</v>
      </c>
      <c r="D8" s="32">
        <v>18000</v>
      </c>
      <c r="E8" s="33">
        <v>11888.79</v>
      </c>
      <c r="F8" s="79">
        <v>96885</v>
      </c>
      <c r="G8" s="80">
        <f>5670+170524.07</f>
        <v>176194.07</v>
      </c>
      <c r="H8" s="81">
        <v>0</v>
      </c>
      <c r="I8" s="82">
        <v>0</v>
      </c>
      <c r="J8" s="79">
        <v>0</v>
      </c>
      <c r="K8" s="80">
        <v>13708</v>
      </c>
      <c r="L8" s="83">
        <v>0</v>
      </c>
      <c r="M8" s="80">
        <v>51172</v>
      </c>
      <c r="N8" s="83">
        <v>0</v>
      </c>
      <c r="O8" s="80">
        <v>29243.15</v>
      </c>
      <c r="P8" s="34">
        <f>+O8+M8+K8+G8+E8+C8</f>
        <v>1371906.16</v>
      </c>
      <c r="Q8" s="34">
        <f>+B8+D8+F8+J8+L8+N8-P8+H8</f>
        <v>-196868.15999999992</v>
      </c>
      <c r="R8" s="5"/>
    </row>
    <row r="9" spans="1:18" ht="17.25">
      <c r="A9" s="31" t="s">
        <v>13</v>
      </c>
      <c r="B9" s="32">
        <v>549411</v>
      </c>
      <c r="C9" s="33">
        <f>12637.1+244622.29+6510.81+136639.92+4975.49+68735.42</f>
        <v>474121.02999999997</v>
      </c>
      <c r="D9" s="32">
        <f>57000-5000</f>
        <v>52000</v>
      </c>
      <c r="E9" s="33">
        <f>3993+43464.12</f>
        <v>47457.12</v>
      </c>
      <c r="F9" s="32">
        <v>232000</v>
      </c>
      <c r="G9" s="33">
        <f>950+65587.93+142.35</f>
        <v>66680.28</v>
      </c>
      <c r="H9" s="32">
        <v>8000</v>
      </c>
      <c r="I9" s="37">
        <v>4000</v>
      </c>
      <c r="J9" s="32">
        <v>0</v>
      </c>
      <c r="K9" s="33">
        <f>52177.25+43421.69</f>
        <v>95598.94</v>
      </c>
      <c r="L9" s="32">
        <f>2540000-250000+100000+250000+200000+700000+150000</f>
        <v>3690000</v>
      </c>
      <c r="M9" s="33">
        <f>28907.45+1989197.48+21989.88+456611.85</f>
        <v>2496706.6599999997</v>
      </c>
      <c r="N9" s="32">
        <v>0</v>
      </c>
      <c r="O9" s="33">
        <v>62993.04</v>
      </c>
      <c r="P9" s="34">
        <f>+O9+M9+K9+G9+E9+C9+I9</f>
        <v>3247557.0699999994</v>
      </c>
      <c r="Q9" s="34">
        <f>+B9+D9+F9+J9+L9+N9-P9+H9</f>
        <v>1283853.9300000006</v>
      </c>
      <c r="R9" s="5"/>
    </row>
    <row r="10" spans="1:18" ht="17.25">
      <c r="A10" s="31" t="s">
        <v>81</v>
      </c>
      <c r="B10" s="32">
        <v>968740</v>
      </c>
      <c r="C10" s="33">
        <f>29785.46+412427.42+6473.41+74141.72+20231.13+266746.2+9643.2+127334.7</f>
        <v>946783.24</v>
      </c>
      <c r="D10" s="32">
        <v>93000</v>
      </c>
      <c r="E10" s="33">
        <f>270+144594.05</f>
        <v>144864.05</v>
      </c>
      <c r="F10" s="32">
        <f>1175000+50000+200000</f>
        <v>1425000</v>
      </c>
      <c r="G10" s="33">
        <f>682005.92+87.78</f>
        <v>682093.7000000001</v>
      </c>
      <c r="H10" s="32">
        <v>0</v>
      </c>
      <c r="I10" s="37">
        <v>0</v>
      </c>
      <c r="J10" s="32">
        <v>0</v>
      </c>
      <c r="K10" s="33">
        <f>32136.1+368.69</f>
        <v>32504.789999999997</v>
      </c>
      <c r="L10" s="32">
        <f>3670000+250000+500000+1200000+20000-810000</f>
        <v>4830000</v>
      </c>
      <c r="M10" s="33">
        <f>77117.61+3432564.26+1896.88+2529.27</f>
        <v>3514108.0199999996</v>
      </c>
      <c r="N10" s="32">
        <v>0</v>
      </c>
      <c r="O10" s="33">
        <v>66708.35</v>
      </c>
      <c r="P10" s="34">
        <f>+O10+M10+K10+I10+G10+E10+C10</f>
        <v>5387062.149999999</v>
      </c>
      <c r="Q10" s="34">
        <f>+N10+L10+J10+H10+F10+D10+B10-P10</f>
        <v>1929677.8500000006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8" ht="18" thickBot="1">
      <c r="A12" s="38" t="s">
        <v>11</v>
      </c>
      <c r="B12" s="39">
        <f aca="true" t="shared" si="0" ref="B12:Q12">SUM(B7:B11)</f>
        <v>3021642</v>
      </c>
      <c r="C12" s="40">
        <f t="shared" si="0"/>
        <v>2979626.51</v>
      </c>
      <c r="D12" s="39">
        <f t="shared" si="0"/>
        <v>173000</v>
      </c>
      <c r="E12" s="40">
        <f t="shared" si="0"/>
        <v>226760.55</v>
      </c>
      <c r="F12" s="39">
        <f t="shared" si="0"/>
        <v>2231215</v>
      </c>
      <c r="G12" s="40">
        <f t="shared" si="0"/>
        <v>1205745.59</v>
      </c>
      <c r="H12" s="39">
        <f t="shared" si="0"/>
        <v>158000</v>
      </c>
      <c r="I12" s="41">
        <f t="shared" si="0"/>
        <v>12250</v>
      </c>
      <c r="J12" s="39">
        <f t="shared" si="0"/>
        <v>65000</v>
      </c>
      <c r="K12" s="40">
        <f t="shared" si="0"/>
        <v>145248.44</v>
      </c>
      <c r="L12" s="39">
        <f t="shared" si="0"/>
        <v>9410000</v>
      </c>
      <c r="M12" s="40">
        <f t="shared" si="0"/>
        <v>6805140.379999999</v>
      </c>
      <c r="N12" s="39">
        <f t="shared" si="0"/>
        <v>238016</v>
      </c>
      <c r="O12" s="40">
        <f t="shared" si="0"/>
        <v>289291.08</v>
      </c>
      <c r="P12" s="42">
        <f t="shared" si="0"/>
        <v>11664062.549999999</v>
      </c>
      <c r="Q12" s="42">
        <f t="shared" si="0"/>
        <v>3632810.450000001</v>
      </c>
      <c r="R12" s="5"/>
    </row>
    <row r="13" spans="1:17" ht="17.25" thickBot="1">
      <c r="A13" s="43" t="s">
        <v>31</v>
      </c>
      <c r="B13" s="44"/>
      <c r="C13" s="143">
        <f>+C12/B12</f>
        <v>0.9860951462813926</v>
      </c>
      <c r="D13" s="45"/>
      <c r="E13" s="143">
        <f>+E12/D12</f>
        <v>1.3107546242774566</v>
      </c>
      <c r="F13" s="45"/>
      <c r="G13" s="143">
        <f>+G12/F12</f>
        <v>0.540398657233839</v>
      </c>
      <c r="H13" s="45"/>
      <c r="I13" s="143">
        <f>+I12/H12</f>
        <v>0.07753164556962025</v>
      </c>
      <c r="J13" s="45"/>
      <c r="K13" s="143">
        <f>+K12/J12</f>
        <v>2.234591384615385</v>
      </c>
      <c r="L13" s="45"/>
      <c r="M13" s="143">
        <f>+M12/L12</f>
        <v>0.7231817619553665</v>
      </c>
      <c r="N13" s="47"/>
      <c r="O13" s="145">
        <f>+O12/N12</f>
        <v>1.2154270301156225</v>
      </c>
      <c r="P13" s="58"/>
      <c r="Q13" s="5"/>
    </row>
    <row r="14" spans="16:17" ht="16.5"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27</v>
      </c>
      <c r="B49" s="62" t="s">
        <v>28</v>
      </c>
      <c r="C49" s="62" t="s">
        <v>29</v>
      </c>
      <c r="D49" s="62"/>
      <c r="E49" s="62"/>
    </row>
    <row r="50" spans="1:3" ht="17.25">
      <c r="A50" s="64">
        <f>+B12</f>
        <v>3021642</v>
      </c>
      <c r="B50" s="65">
        <f>+C12</f>
        <v>2979626.51</v>
      </c>
      <c r="C50" s="62" t="s">
        <v>1</v>
      </c>
    </row>
    <row r="51" spans="1:3" ht="17.25">
      <c r="A51" s="64">
        <f>+D12</f>
        <v>173000</v>
      </c>
      <c r="B51" s="65">
        <f>+E12</f>
        <v>226760.55</v>
      </c>
      <c r="C51" s="62" t="s">
        <v>2</v>
      </c>
    </row>
    <row r="52" spans="1:3" ht="17.25">
      <c r="A52" s="64">
        <f>+F12</f>
        <v>2231215</v>
      </c>
      <c r="B52" s="65">
        <f>+G12</f>
        <v>1205745.59</v>
      </c>
      <c r="C52" s="62" t="s">
        <v>3</v>
      </c>
    </row>
    <row r="53" spans="1:3" ht="17.25">
      <c r="A53" s="66">
        <f>+H12</f>
        <v>158000</v>
      </c>
      <c r="B53" s="65">
        <f>+I12</f>
        <v>12250</v>
      </c>
      <c r="C53" s="62" t="s">
        <v>35</v>
      </c>
    </row>
    <row r="54" spans="1:3" ht="17.25">
      <c r="A54" s="64">
        <f>+J12</f>
        <v>65000</v>
      </c>
      <c r="B54" s="65">
        <f>+K12</f>
        <v>145248.44</v>
      </c>
      <c r="C54" s="62" t="s">
        <v>33</v>
      </c>
    </row>
    <row r="55" spans="1:3" ht="17.25">
      <c r="A55" s="64">
        <f>+L12</f>
        <v>9410000</v>
      </c>
      <c r="B55" s="65">
        <f>+M12</f>
        <v>6805140.379999999</v>
      </c>
      <c r="C55" s="62" t="s">
        <v>30</v>
      </c>
    </row>
    <row r="56" spans="1:3" ht="17.25">
      <c r="A56" s="64">
        <f>+N12</f>
        <v>238016</v>
      </c>
      <c r="B56" s="65">
        <f>+O12</f>
        <v>289291.08</v>
      </c>
      <c r="C56" s="62" t="s">
        <v>36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8" right="0.3" top="0.81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B19">
      <selection activeCell="D34" sqref="D34"/>
    </sheetView>
  </sheetViews>
  <sheetFormatPr defaultColWidth="11.421875" defaultRowHeight="15"/>
  <cols>
    <col min="1" max="1" width="18.7109375" style="1" customWidth="1"/>
    <col min="2" max="2" width="9.57421875" style="1" customWidth="1"/>
    <col min="3" max="3" width="12.28125" style="1" customWidth="1"/>
    <col min="4" max="4" width="7.8515625" style="1" customWidth="1"/>
    <col min="5" max="5" width="10.8515625" style="1" customWidth="1"/>
    <col min="6" max="6" width="9.421875" style="1" customWidth="1"/>
    <col min="7" max="7" width="12.42187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2812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0.28125" style="1" customWidth="1"/>
    <col min="16" max="16" width="12.851562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111</v>
      </c>
      <c r="C2" s="179"/>
      <c r="D2" s="179"/>
      <c r="E2" s="179"/>
      <c r="F2" s="175"/>
      <c r="G2" s="175"/>
      <c r="H2" s="175"/>
      <c r="J2" s="21"/>
      <c r="K2" s="173" t="s">
        <v>24</v>
      </c>
      <c r="L2" s="174"/>
      <c r="M2" s="157">
        <v>40513</v>
      </c>
      <c r="O2" s="56"/>
    </row>
    <row r="3" spans="2:16" ht="16.5">
      <c r="B3" s="177"/>
      <c r="C3" s="178"/>
      <c r="D3" s="178"/>
      <c r="E3" s="178"/>
      <c r="F3" s="67"/>
      <c r="P3" s="85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71" t="s">
        <v>37</v>
      </c>
      <c r="M6" s="172"/>
      <c r="N6" s="171" t="s">
        <v>34</v>
      </c>
      <c r="O6" s="172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86" t="s">
        <v>15</v>
      </c>
      <c r="B8" s="32">
        <f>454526+100000</f>
        <v>554526</v>
      </c>
      <c r="C8" s="33">
        <f>11044.14+438692.6+4680.66+56900.94+774.21+18098.05+3731.48+108334.83</f>
        <v>642256.9099999999</v>
      </c>
      <c r="D8" s="32">
        <v>26000</v>
      </c>
      <c r="E8" s="33">
        <v>13932.68</v>
      </c>
      <c r="F8" s="32">
        <f>802000+40000+207000</f>
        <v>1049000</v>
      </c>
      <c r="G8" s="33">
        <f>27776.82+982364.67+207.1</f>
        <v>1010348.59</v>
      </c>
      <c r="H8" s="32">
        <v>10000</v>
      </c>
      <c r="I8" s="33">
        <v>850</v>
      </c>
      <c r="J8" s="32">
        <f>10000+60000+297500+205000</f>
        <v>572500</v>
      </c>
      <c r="K8" s="33">
        <v>76904.01</v>
      </c>
      <c r="L8" s="32">
        <v>0</v>
      </c>
      <c r="M8" s="37">
        <f>6900+42372.36</f>
        <v>49272.36</v>
      </c>
      <c r="N8" s="32">
        <v>250000</v>
      </c>
      <c r="O8" s="33">
        <v>145574.35</v>
      </c>
      <c r="P8" s="34">
        <f>+O8+K8+G8+E8+C8+I8+M8</f>
        <v>1939138.9</v>
      </c>
      <c r="Q8" s="34">
        <f>+B8+D8+F8+H8+J8+N8-P8</f>
        <v>522887.1000000001</v>
      </c>
      <c r="R8" s="5"/>
    </row>
    <row r="9" spans="1:18" ht="17.25">
      <c r="A9" s="86" t="s">
        <v>90</v>
      </c>
      <c r="B9" s="32">
        <v>1657400</v>
      </c>
      <c r="C9" s="33">
        <f>5235.7+160762.56+51306.41+799233.8+29346.34+505748.86+19950.23+418617.85</f>
        <v>1990201.75</v>
      </c>
      <c r="D9" s="32">
        <f>64720-5000</f>
        <v>59720</v>
      </c>
      <c r="E9" s="33">
        <f>-18351.33+47367.34+3430</f>
        <v>32446.009999999995</v>
      </c>
      <c r="F9" s="32">
        <v>167300</v>
      </c>
      <c r="G9" s="33">
        <f>557.2+125920.88+2425.3+4911.5+950</f>
        <v>134764.88</v>
      </c>
      <c r="H9" s="32">
        <v>0</v>
      </c>
      <c r="I9" s="33">
        <v>0</v>
      </c>
      <c r="J9" s="32">
        <v>0</v>
      </c>
      <c r="K9" s="33">
        <f>166012.16+122.39</f>
        <v>166134.55000000002</v>
      </c>
      <c r="L9" s="32">
        <v>0</v>
      </c>
      <c r="M9" s="37">
        <v>3206.21</v>
      </c>
      <c r="N9" s="32">
        <v>0</v>
      </c>
      <c r="O9" s="33">
        <v>47136.96</v>
      </c>
      <c r="P9" s="34">
        <f>+O9+K9+G9+E9+C9+M9</f>
        <v>2373890.36</v>
      </c>
      <c r="Q9" s="34">
        <f>+B9+D9+F9+H9+J9+N9-P9</f>
        <v>-489470.35999999987</v>
      </c>
      <c r="R9" s="5"/>
    </row>
    <row r="10" spans="1:18" ht="17.25">
      <c r="A10" s="86" t="s">
        <v>89</v>
      </c>
      <c r="B10" s="32">
        <v>1866785</v>
      </c>
      <c r="C10" s="33">
        <f>23909+614777.62+1743.46+53125.82+107841.42+1623877.47</f>
        <v>2425274.79</v>
      </c>
      <c r="D10" s="32">
        <f>43500-5000</f>
        <v>38500</v>
      </c>
      <c r="E10" s="33">
        <f>23737.23+53940.46+5241.34+1096</f>
        <v>84015.03</v>
      </c>
      <c r="F10" s="32">
        <f>345500+70000+200000</f>
        <v>615500</v>
      </c>
      <c r="G10" s="33">
        <f>96369.29+1221891.2+88786.16</f>
        <v>1407046.65</v>
      </c>
      <c r="H10" s="32">
        <v>0</v>
      </c>
      <c r="I10" s="33">
        <v>1435.09</v>
      </c>
      <c r="J10" s="32">
        <v>12500</v>
      </c>
      <c r="K10" s="33">
        <f>10258.28+122.39</f>
        <v>10380.67</v>
      </c>
      <c r="L10" s="32">
        <v>0</v>
      </c>
      <c r="M10" s="37">
        <v>0</v>
      </c>
      <c r="N10" s="32">
        <v>0</v>
      </c>
      <c r="O10" s="33">
        <v>71467.48</v>
      </c>
      <c r="P10" s="34">
        <f>+O10+K10+G10+E10+C10+M10+I10</f>
        <v>3999619.71</v>
      </c>
      <c r="Q10" s="34">
        <f>+B10+D10+F10+H10+J10+N10-P10</f>
        <v>-1466334.71</v>
      </c>
      <c r="R10" s="5"/>
    </row>
    <row r="11" spans="1:18" ht="17.25">
      <c r="A11" s="86" t="s">
        <v>91</v>
      </c>
      <c r="B11" s="32">
        <v>2568227</v>
      </c>
      <c r="C11" s="33">
        <f>6848.29+96230.14+109167.48+2049380.58+8311.15+203897.2</f>
        <v>2473834.8400000003</v>
      </c>
      <c r="D11" s="32">
        <f>85500-5000</f>
        <v>80500</v>
      </c>
      <c r="E11" s="33">
        <f>426+89219.99+2736.68+172.49</f>
        <v>92555.16</v>
      </c>
      <c r="F11" s="32">
        <f>148000+15000</f>
        <v>163000</v>
      </c>
      <c r="G11" s="33">
        <f>5970+264178.29+421.36+27149.29</f>
        <v>297718.93999999994</v>
      </c>
      <c r="H11" s="32">
        <v>0</v>
      </c>
      <c r="I11" s="33">
        <v>1634.35</v>
      </c>
      <c r="J11" s="32">
        <v>22500</v>
      </c>
      <c r="K11" s="33">
        <f>80455.5+648.32</f>
        <v>81103.82</v>
      </c>
      <c r="L11" s="32">
        <v>0</v>
      </c>
      <c r="M11" s="37">
        <v>0</v>
      </c>
      <c r="N11" s="32">
        <v>0</v>
      </c>
      <c r="O11" s="33">
        <v>83259.3</v>
      </c>
      <c r="P11" s="34">
        <f>+O11+K11+G11+E11+C11+I11</f>
        <v>3030106.4100000006</v>
      </c>
      <c r="Q11" s="34">
        <f>+B11+D11+F11+H11+J11+N11+L11-P11</f>
        <v>-195879.41000000061</v>
      </c>
      <c r="R11" s="5"/>
    </row>
    <row r="12" spans="1:17" ht="7.5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8" ht="18" thickBot="1">
      <c r="A13" s="38" t="s">
        <v>11</v>
      </c>
      <c r="B13" s="39">
        <f aca="true" t="shared" si="0" ref="B13:Q13">SUM(B8:B12)</f>
        <v>6646938</v>
      </c>
      <c r="C13" s="40">
        <f t="shared" si="0"/>
        <v>7531568.290000001</v>
      </c>
      <c r="D13" s="39">
        <f t="shared" si="0"/>
        <v>204720</v>
      </c>
      <c r="E13" s="40">
        <f t="shared" si="0"/>
        <v>222948.88</v>
      </c>
      <c r="F13" s="39">
        <f t="shared" si="0"/>
        <v>1994800</v>
      </c>
      <c r="G13" s="40">
        <f t="shared" si="0"/>
        <v>2849879.06</v>
      </c>
      <c r="H13" s="39">
        <f t="shared" si="0"/>
        <v>10000</v>
      </c>
      <c r="I13" s="40">
        <f t="shared" si="0"/>
        <v>3919.44</v>
      </c>
      <c r="J13" s="39">
        <f t="shared" si="0"/>
        <v>607500</v>
      </c>
      <c r="K13" s="40">
        <f t="shared" si="0"/>
        <v>334523.05000000005</v>
      </c>
      <c r="L13" s="39">
        <f>SUM(L8:L12)</f>
        <v>0</v>
      </c>
      <c r="M13" s="40">
        <f>SUM(M8:M12)</f>
        <v>52478.57</v>
      </c>
      <c r="N13" s="39">
        <f t="shared" si="0"/>
        <v>250000</v>
      </c>
      <c r="O13" s="40">
        <f t="shared" si="0"/>
        <v>347438.08999999997</v>
      </c>
      <c r="P13" s="87">
        <f t="shared" si="0"/>
        <v>11342755.38</v>
      </c>
      <c r="Q13" s="160">
        <f t="shared" si="0"/>
        <v>-1628797.3800000004</v>
      </c>
      <c r="R13" s="5"/>
    </row>
    <row r="14" spans="1:17" ht="17.25" thickBot="1">
      <c r="A14" s="38" t="s">
        <v>31</v>
      </c>
      <c r="B14" s="88"/>
      <c r="C14" s="161">
        <f>+C13/B13</f>
        <v>1.1330883919783818</v>
      </c>
      <c r="D14" s="89"/>
      <c r="E14" s="93">
        <f>+E13/D13</f>
        <v>1.0890429855412271</v>
      </c>
      <c r="F14" s="89"/>
      <c r="G14" s="93">
        <f>+G13/F13</f>
        <v>1.428654030479246</v>
      </c>
      <c r="H14" s="89"/>
      <c r="I14" s="93">
        <f>+I13/H13</f>
        <v>0.391944</v>
      </c>
      <c r="J14" s="89"/>
      <c r="K14" s="93">
        <f>+K13/J13</f>
        <v>0.5506552263374487</v>
      </c>
      <c r="L14" s="90"/>
      <c r="M14" s="47"/>
      <c r="N14" s="45"/>
      <c r="O14" s="145">
        <f>+O13/N13</f>
        <v>1.38975236</v>
      </c>
      <c r="P14" s="58"/>
      <c r="Q14" s="5"/>
    </row>
    <row r="15" spans="1:17" ht="9.75" customHeight="1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78"/>
    </row>
    <row r="16" ht="15" customHeight="1">
      <c r="P16" s="52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27</v>
      </c>
      <c r="B45" s="71" t="s">
        <v>28</v>
      </c>
      <c r="C45" s="91" t="s">
        <v>29</v>
      </c>
      <c r="D45" s="5"/>
      <c r="F45" s="53"/>
    </row>
    <row r="46" spans="1:6" ht="17.25">
      <c r="A46" s="64">
        <f>+B13</f>
        <v>6646938</v>
      </c>
      <c r="B46" s="65">
        <f>+C13</f>
        <v>7531568.290000001</v>
      </c>
      <c r="C46" s="91" t="s">
        <v>1</v>
      </c>
      <c r="D46" s="5"/>
      <c r="F46" s="53"/>
    </row>
    <row r="47" spans="1:6" ht="17.25">
      <c r="A47" s="64">
        <f>+D13</f>
        <v>204720</v>
      </c>
      <c r="B47" s="65">
        <f>+E13</f>
        <v>222948.88</v>
      </c>
      <c r="C47" s="91" t="s">
        <v>2</v>
      </c>
      <c r="D47" s="5"/>
      <c r="F47" s="53"/>
    </row>
    <row r="48" spans="1:6" ht="17.25">
      <c r="A48" s="64">
        <f>+F13</f>
        <v>1994800</v>
      </c>
      <c r="B48" s="65">
        <f>+G13</f>
        <v>2849879.06</v>
      </c>
      <c r="C48" s="91" t="s">
        <v>3</v>
      </c>
      <c r="D48" s="5"/>
      <c r="F48" s="53"/>
    </row>
    <row r="49" spans="1:6" ht="17.25">
      <c r="A49" s="66">
        <f>+H13</f>
        <v>10000</v>
      </c>
      <c r="B49" s="65">
        <f>+I13</f>
        <v>3919.44</v>
      </c>
      <c r="C49" s="92" t="s">
        <v>35</v>
      </c>
      <c r="D49" s="5"/>
      <c r="F49" s="53"/>
    </row>
    <row r="50" spans="1:3" ht="17.25">
      <c r="A50" s="64">
        <f>+J13</f>
        <v>607500</v>
      </c>
      <c r="B50" s="65">
        <f>+K13</f>
        <v>334523.05000000005</v>
      </c>
      <c r="C50" s="62" t="s">
        <v>33</v>
      </c>
    </row>
    <row r="51" spans="1:3" ht="17.25">
      <c r="A51" s="66">
        <f>+L13</f>
        <v>0</v>
      </c>
      <c r="B51" s="65">
        <f>+M13</f>
        <v>52478.57</v>
      </c>
      <c r="C51" s="62" t="s">
        <v>102</v>
      </c>
    </row>
    <row r="52" spans="1:3" ht="17.25">
      <c r="A52" s="64">
        <f>+N13</f>
        <v>250000</v>
      </c>
      <c r="B52" s="65">
        <f>+O13</f>
        <v>347438.08999999997</v>
      </c>
      <c r="C52" s="62" t="s">
        <v>36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K2:L2"/>
    <mergeCell ref="B3:E3"/>
    <mergeCell ref="N6:O6"/>
    <mergeCell ref="J6:K6"/>
    <mergeCell ref="B6:C6"/>
    <mergeCell ref="D6:E6"/>
    <mergeCell ref="F6:G6"/>
    <mergeCell ref="H6:I6"/>
    <mergeCell ref="L6:M6"/>
    <mergeCell ref="B2:H2"/>
  </mergeCells>
  <printOptions/>
  <pageMargins left="0.78" right="0.57" top="0.72" bottom="1" header="0.39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10">
      <selection activeCell="A17" sqref="A17"/>
    </sheetView>
  </sheetViews>
  <sheetFormatPr defaultColWidth="11.421875" defaultRowHeight="15"/>
  <cols>
    <col min="1" max="1" width="21.00390625" style="1" customWidth="1"/>
    <col min="2" max="2" width="8.00390625" style="1" customWidth="1"/>
    <col min="3" max="3" width="10.57421875" style="1" customWidth="1"/>
    <col min="4" max="4" width="7.00390625" style="1" customWidth="1"/>
    <col min="5" max="5" width="9.7109375" style="1" customWidth="1"/>
    <col min="6" max="6" width="7.42187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6.421875" style="1" customWidth="1"/>
    <col min="11" max="11" width="9.421875" style="1" customWidth="1"/>
    <col min="12" max="12" width="6.8515625" style="1" customWidth="1"/>
    <col min="13" max="13" width="8.7109375" style="1" customWidth="1"/>
    <col min="14" max="14" width="7.28125" style="1" customWidth="1"/>
    <col min="15" max="15" width="10.140625" style="1" customWidth="1"/>
    <col min="16" max="16" width="11.8515625" style="1" customWidth="1"/>
    <col min="17" max="17" width="10.57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4" t="s">
        <v>112</v>
      </c>
      <c r="C2" s="164"/>
      <c r="D2" s="169"/>
      <c r="E2" s="169"/>
      <c r="I2" s="173" t="s">
        <v>24</v>
      </c>
      <c r="J2" s="173"/>
      <c r="K2" s="157">
        <v>40513</v>
      </c>
      <c r="L2" s="125"/>
      <c r="M2" s="125"/>
      <c r="O2" s="23"/>
    </row>
    <row r="3" spans="2:3" ht="16.5">
      <c r="B3" s="177"/>
      <c r="C3" s="177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27" t="s">
        <v>37</v>
      </c>
      <c r="M6" s="75"/>
      <c r="N6" s="171" t="s">
        <v>34</v>
      </c>
      <c r="O6" s="172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31" t="s">
        <v>98</v>
      </c>
      <c r="B8" s="32">
        <f>687883+4100</f>
        <v>691983</v>
      </c>
      <c r="C8" s="33">
        <f>51542.7+691078.62</f>
        <v>742621.32</v>
      </c>
      <c r="D8" s="68">
        <v>58500</v>
      </c>
      <c r="E8" s="33">
        <f>817.01+10839.25</f>
        <v>11656.26</v>
      </c>
      <c r="F8" s="68">
        <v>212674</v>
      </c>
      <c r="G8" s="33">
        <v>25489.36</v>
      </c>
      <c r="H8" s="68">
        <v>199000</v>
      </c>
      <c r="I8" s="33">
        <f>200+176587.74</f>
        <v>176787.74</v>
      </c>
      <c r="J8" s="68">
        <v>6000</v>
      </c>
      <c r="K8" s="33">
        <v>3752</v>
      </c>
      <c r="L8" s="68">
        <v>50000</v>
      </c>
      <c r="M8" s="33">
        <v>0</v>
      </c>
      <c r="N8" s="68">
        <v>50000</v>
      </c>
      <c r="O8" s="33">
        <v>91733.66</v>
      </c>
      <c r="P8" s="34">
        <f>+C8+G8+I8+K8+O8+E8</f>
        <v>1052040.3399999999</v>
      </c>
      <c r="Q8" s="34">
        <f>+B8+D8+F8+H8+J8+N8-P8+L8</f>
        <v>216116.66000000015</v>
      </c>
      <c r="R8" s="5"/>
    </row>
    <row r="9" spans="1:18" ht="17.25">
      <c r="A9" s="31" t="s">
        <v>113</v>
      </c>
      <c r="B9" s="32">
        <v>66915</v>
      </c>
      <c r="C9" s="33">
        <f>4644.31+64524.87</f>
        <v>69169.18000000001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v>0</v>
      </c>
      <c r="J9" s="68">
        <v>0</v>
      </c>
      <c r="K9" s="33">
        <v>1490.29</v>
      </c>
      <c r="L9" s="68">
        <v>0</v>
      </c>
      <c r="M9" s="33">
        <v>0</v>
      </c>
      <c r="N9" s="68">
        <v>0</v>
      </c>
      <c r="O9" s="33">
        <v>875.57</v>
      </c>
      <c r="P9" s="34">
        <f>+C9+G9+I9+K9+O9+E9</f>
        <v>71535.04000000001</v>
      </c>
      <c r="Q9" s="34">
        <f>+B9+D9+F9+H9+J9+N9-P9</f>
        <v>-4620.040000000008</v>
      </c>
      <c r="R9" s="5"/>
    </row>
    <row r="10" spans="1:18" ht="17.25">
      <c r="A10" s="31" t="s">
        <v>114</v>
      </c>
      <c r="B10" s="32">
        <v>43048</v>
      </c>
      <c r="C10" s="33">
        <f>2515.99+37618.77</f>
        <v>40134.759999999995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946.58</v>
      </c>
      <c r="P10" s="34">
        <f>+C10+G10+I10+K10+O10+E10</f>
        <v>41081.34</v>
      </c>
      <c r="Q10" s="34">
        <f>+B10+D10+F10+H10+J10+N10-P10</f>
        <v>1966.6600000000035</v>
      </c>
      <c r="R10" s="5"/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8" ht="18" thickBot="1">
      <c r="A12" s="38" t="s">
        <v>11</v>
      </c>
      <c r="B12" s="39">
        <f aca="true" t="shared" si="0" ref="B12:Q12">SUM(B8:B10)</f>
        <v>801946</v>
      </c>
      <c r="C12" s="40">
        <f t="shared" si="0"/>
        <v>851925.26</v>
      </c>
      <c r="D12" s="39">
        <f t="shared" si="0"/>
        <v>58500</v>
      </c>
      <c r="E12" s="40">
        <f t="shared" si="0"/>
        <v>11656.26</v>
      </c>
      <c r="F12" s="39">
        <f t="shared" si="0"/>
        <v>212674</v>
      </c>
      <c r="G12" s="40">
        <f t="shared" si="0"/>
        <v>25489.36</v>
      </c>
      <c r="H12" s="39">
        <f t="shared" si="0"/>
        <v>199000</v>
      </c>
      <c r="I12" s="40">
        <f t="shared" si="0"/>
        <v>176787.74</v>
      </c>
      <c r="J12" s="39">
        <f t="shared" si="0"/>
        <v>6000</v>
      </c>
      <c r="K12" s="40">
        <f t="shared" si="0"/>
        <v>5242.29</v>
      </c>
      <c r="L12" s="39">
        <f t="shared" si="0"/>
        <v>50000</v>
      </c>
      <c r="M12" s="40">
        <f t="shared" si="0"/>
        <v>0</v>
      </c>
      <c r="N12" s="39">
        <f t="shared" si="0"/>
        <v>50000</v>
      </c>
      <c r="O12" s="40">
        <f t="shared" si="0"/>
        <v>93555.81000000001</v>
      </c>
      <c r="P12" s="42">
        <f t="shared" si="0"/>
        <v>1164656.72</v>
      </c>
      <c r="Q12" s="42">
        <f t="shared" si="0"/>
        <v>213463.28000000014</v>
      </c>
      <c r="R12" s="5"/>
    </row>
    <row r="13" spans="1:17" ht="17.25" thickBot="1">
      <c r="A13" s="43" t="s">
        <v>31</v>
      </c>
      <c r="B13" s="88"/>
      <c r="C13" s="93">
        <f>+C12/B12</f>
        <v>1.0623224755781562</v>
      </c>
      <c r="D13" s="93"/>
      <c r="E13" s="93">
        <f>+E12/D12</f>
        <v>0.1992523076923077</v>
      </c>
      <c r="F13" s="93"/>
      <c r="G13" s="93">
        <f>+G12/F12</f>
        <v>0.11985179194447841</v>
      </c>
      <c r="H13" s="93"/>
      <c r="I13" s="93">
        <f>+I12/H12</f>
        <v>0.8883806030150754</v>
      </c>
      <c r="J13" s="89"/>
      <c r="K13" s="89">
        <f>+K12/J12</f>
        <v>0.873715</v>
      </c>
      <c r="L13" s="90"/>
      <c r="M13" s="47">
        <f>+M12/L12</f>
        <v>0</v>
      </c>
      <c r="N13" s="45"/>
      <c r="O13" s="145"/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4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27</v>
      </c>
      <c r="B45" s="71" t="s">
        <v>28</v>
      </c>
      <c r="C45" s="91" t="s">
        <v>29</v>
      </c>
      <c r="D45" s="5"/>
      <c r="H45" s="53"/>
    </row>
    <row r="46" spans="1:8" ht="17.25">
      <c r="A46" s="64">
        <f>+B12</f>
        <v>801946</v>
      </c>
      <c r="B46" s="65">
        <f>+C12</f>
        <v>851925.26</v>
      </c>
      <c r="C46" s="91" t="s">
        <v>1</v>
      </c>
      <c r="D46" s="5"/>
      <c r="H46" s="53"/>
    </row>
    <row r="47" spans="1:8" ht="17.25">
      <c r="A47" s="64">
        <f>+D12</f>
        <v>58500</v>
      </c>
      <c r="B47" s="65">
        <f>+E12</f>
        <v>11656.26</v>
      </c>
      <c r="C47" s="91" t="s">
        <v>2</v>
      </c>
      <c r="D47" s="5"/>
      <c r="H47" s="53"/>
    </row>
    <row r="48" spans="1:8" ht="17.25">
      <c r="A48" s="64">
        <f>+F12</f>
        <v>212674</v>
      </c>
      <c r="B48" s="65">
        <f>+G12</f>
        <v>25489.36</v>
      </c>
      <c r="C48" s="91" t="s">
        <v>3</v>
      </c>
      <c r="D48" s="5"/>
      <c r="H48" s="53"/>
    </row>
    <row r="49" spans="1:3" ht="17.25">
      <c r="A49" s="64">
        <f>+H12</f>
        <v>199000</v>
      </c>
      <c r="B49" s="65">
        <f>+I12</f>
        <v>176787.74</v>
      </c>
      <c r="C49" s="62" t="s">
        <v>35</v>
      </c>
    </row>
    <row r="50" spans="1:3" ht="17.25">
      <c r="A50" s="64">
        <f>+J12</f>
        <v>6000</v>
      </c>
      <c r="B50" s="65">
        <f>+K12</f>
        <v>5242.29</v>
      </c>
      <c r="C50" s="62" t="s">
        <v>33</v>
      </c>
    </row>
    <row r="51" spans="1:3" ht="17.25">
      <c r="A51" s="66">
        <f>+L12</f>
        <v>50000</v>
      </c>
      <c r="B51" s="65">
        <f>+M12</f>
        <v>0</v>
      </c>
      <c r="C51" s="62" t="s">
        <v>97</v>
      </c>
    </row>
    <row r="52" spans="1:3" ht="17.25">
      <c r="A52" s="64">
        <f>+N12</f>
        <v>50000</v>
      </c>
      <c r="B52" s="65">
        <f>+O12</f>
        <v>93555.81000000001</v>
      </c>
      <c r="C52" s="62" t="s">
        <v>36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91" right="0.63" top="0.75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9">
      <selection activeCell="B23" sqref="B23"/>
    </sheetView>
  </sheetViews>
  <sheetFormatPr defaultColWidth="11.421875" defaultRowHeight="15"/>
  <cols>
    <col min="1" max="1" width="10.00390625" style="1" customWidth="1"/>
    <col min="2" max="2" width="8.7109375" style="1" customWidth="1"/>
    <col min="3" max="3" width="10.2812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8515625" style="1" customWidth="1"/>
    <col min="13" max="13" width="9.8515625" style="1" customWidth="1"/>
    <col min="14" max="14" width="10.140625" style="1" customWidth="1"/>
    <col min="15" max="15" width="9.421875" style="1" customWidth="1"/>
    <col min="16" max="16" width="11.8515625" style="1" bestFit="1" customWidth="1"/>
    <col min="17" max="16384" width="11.421875" style="1" customWidth="1"/>
  </cols>
  <sheetData>
    <row r="2" spans="1:12" ht="18">
      <c r="A2" s="150" t="s">
        <v>0</v>
      </c>
      <c r="B2" s="164" t="s">
        <v>115</v>
      </c>
      <c r="C2" s="179"/>
      <c r="D2" s="169"/>
      <c r="E2" s="169"/>
      <c r="I2" s="173" t="s">
        <v>24</v>
      </c>
      <c r="J2" s="173"/>
      <c r="K2" s="157">
        <v>40513</v>
      </c>
      <c r="L2" s="20"/>
    </row>
    <row r="3" spans="2:4" ht="16.5">
      <c r="B3" s="177"/>
      <c r="C3" s="178"/>
      <c r="D3" s="96"/>
    </row>
    <row r="5" ht="17.25" thickBot="1"/>
    <row r="6" spans="1:15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71" t="s">
        <v>34</v>
      </c>
      <c r="M6" s="172"/>
      <c r="N6" s="26" t="s">
        <v>5</v>
      </c>
      <c r="O6" s="26" t="s">
        <v>39</v>
      </c>
    </row>
    <row r="7" spans="1:15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9" t="s">
        <v>26</v>
      </c>
      <c r="O7" s="30" t="s">
        <v>40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92</v>
      </c>
      <c r="B9" s="57">
        <v>260213</v>
      </c>
      <c r="C9" s="33">
        <f>17449.71+252723.34</f>
        <v>270173.05</v>
      </c>
      <c r="D9" s="76">
        <v>2170</v>
      </c>
      <c r="E9" s="33">
        <v>1545.02</v>
      </c>
      <c r="F9" s="76">
        <v>113090</v>
      </c>
      <c r="G9" s="33">
        <f>2100+52177.93</f>
        <v>54277.93</v>
      </c>
      <c r="H9" s="76">
        <v>0</v>
      </c>
      <c r="I9" s="33">
        <v>0</v>
      </c>
      <c r="J9" s="76">
        <v>3000</v>
      </c>
      <c r="K9" s="33">
        <v>6448.12</v>
      </c>
      <c r="L9" s="76">
        <v>15000</v>
      </c>
      <c r="M9" s="33">
        <v>11029.19</v>
      </c>
      <c r="N9" s="34">
        <f>+M9+K9+I9+G9+E9+C9</f>
        <v>343473.31</v>
      </c>
      <c r="O9" s="34">
        <f>+B9+D9+F9+H9+J9+L9-N9</f>
        <v>49999.69</v>
      </c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6" ht="18" thickBot="1">
      <c r="A12" s="38" t="s">
        <v>11</v>
      </c>
      <c r="B12" s="39">
        <f>SUM(B9:B11)</f>
        <v>260213</v>
      </c>
      <c r="C12" s="40">
        <f>SUM(C9)</f>
        <v>270173.05</v>
      </c>
      <c r="D12" s="39">
        <f>SUM(D9:D11)</f>
        <v>2170</v>
      </c>
      <c r="E12" s="40">
        <f>SUM(E9)</f>
        <v>1545.02</v>
      </c>
      <c r="F12" s="39">
        <f>SUM(F9:F11)</f>
        <v>113090</v>
      </c>
      <c r="G12" s="40">
        <f>SUM(G9)</f>
        <v>54277.93</v>
      </c>
      <c r="H12" s="99">
        <f>SUM(H9:H11)</f>
        <v>0</v>
      </c>
      <c r="I12" s="40">
        <v>0</v>
      </c>
      <c r="J12" s="39">
        <f>SUM(J9:J11)</f>
        <v>3000</v>
      </c>
      <c r="K12" s="40">
        <f>SUM(K9)</f>
        <v>6448.12</v>
      </c>
      <c r="L12" s="39">
        <f>SUM(L9:L11)</f>
        <v>15000</v>
      </c>
      <c r="M12" s="40">
        <f>SUM(M9)</f>
        <v>11029.19</v>
      </c>
      <c r="N12" s="42">
        <f>SUM(N9)</f>
        <v>343473.31</v>
      </c>
      <c r="O12" s="42">
        <f>SUM(O9)</f>
        <v>49999.69</v>
      </c>
      <c r="P12" s="5"/>
    </row>
    <row r="13" spans="1:15" ht="17.25" thickBot="1">
      <c r="A13" s="43" t="s">
        <v>31</v>
      </c>
      <c r="B13" s="88"/>
      <c r="C13" s="93">
        <f>+C12/B12</f>
        <v>1.0382765273064758</v>
      </c>
      <c r="D13" s="89"/>
      <c r="E13" s="93">
        <f>+E12/D12</f>
        <v>0.7119907834101382</v>
      </c>
      <c r="F13" s="89"/>
      <c r="G13" s="93">
        <f>+G12/F12</f>
        <v>0.4799533999469449</v>
      </c>
      <c r="H13" s="89"/>
      <c r="I13" s="89"/>
      <c r="J13" s="89"/>
      <c r="K13" s="151">
        <f>+K12/J12</f>
        <v>2.149373333333333</v>
      </c>
      <c r="L13" s="45"/>
      <c r="M13" s="145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44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27</v>
      </c>
      <c r="B48" s="71" t="s">
        <v>28</v>
      </c>
      <c r="C48" s="91" t="s">
        <v>29</v>
      </c>
      <c r="D48" s="5"/>
      <c r="H48" s="53"/>
    </row>
    <row r="49" spans="1:8" ht="17.25">
      <c r="A49" s="65">
        <f>+B12</f>
        <v>260213</v>
      </c>
      <c r="B49" s="65">
        <f>+C12</f>
        <v>270173.05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1545.02</v>
      </c>
      <c r="C50" s="91" t="s">
        <v>2</v>
      </c>
      <c r="D50" s="5"/>
      <c r="H50" s="53"/>
    </row>
    <row r="51" spans="1:8" ht="17.25">
      <c r="A51" s="65">
        <f>+F12</f>
        <v>113090</v>
      </c>
      <c r="B51" s="65">
        <f>+G12</f>
        <v>54277.93</v>
      </c>
      <c r="C51" s="91" t="s">
        <v>3</v>
      </c>
      <c r="D51" s="5"/>
      <c r="H51" s="53"/>
    </row>
    <row r="52" spans="1:3" ht="17.25">
      <c r="A52" s="65">
        <f>+J12</f>
        <v>3000</v>
      </c>
      <c r="B52" s="65">
        <f>+K12</f>
        <v>6448.12</v>
      </c>
      <c r="C52" s="62" t="s">
        <v>33</v>
      </c>
    </row>
    <row r="53" spans="1:3" ht="17.25">
      <c r="A53" s="65">
        <f>+L12</f>
        <v>15000</v>
      </c>
      <c r="B53" s="65">
        <f>+M12</f>
        <v>11029.19</v>
      </c>
      <c r="C53" s="62" t="s">
        <v>36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4">
      <selection activeCell="Q17" sqref="Q17"/>
    </sheetView>
  </sheetViews>
  <sheetFormatPr defaultColWidth="11.421875" defaultRowHeight="15"/>
  <cols>
    <col min="1" max="1" width="14.28125" style="1" customWidth="1"/>
    <col min="2" max="2" width="10.140625" style="1" customWidth="1"/>
    <col min="3" max="3" width="13.421875" style="1" customWidth="1"/>
    <col min="4" max="4" width="9.140625" style="1" customWidth="1"/>
    <col min="5" max="5" width="12.28125" style="1" customWidth="1"/>
    <col min="6" max="6" width="9.421875" style="1" customWidth="1"/>
    <col min="7" max="7" width="11.8515625" style="1" customWidth="1"/>
    <col min="8" max="8" width="7.421875" style="1" customWidth="1"/>
    <col min="9" max="9" width="10.28125" style="1" customWidth="1"/>
    <col min="10" max="10" width="7.140625" style="1" customWidth="1"/>
    <col min="11" max="11" width="10.140625" style="1" customWidth="1"/>
    <col min="12" max="12" width="7.57421875" style="1" customWidth="1"/>
    <col min="13" max="13" width="12.421875" style="1" customWidth="1"/>
    <col min="14" max="14" width="9.28125" style="1" customWidth="1"/>
    <col min="15" max="15" width="10.8515625" style="1" customWidth="1"/>
    <col min="16" max="16" width="12.8515625" style="1" customWidth="1"/>
    <col min="17" max="17" width="12.7109375" style="1" customWidth="1"/>
    <col min="18" max="18" width="15.00390625" style="1" bestFit="1" customWidth="1"/>
    <col min="19" max="16384" width="11.421875" style="1" customWidth="1"/>
  </cols>
  <sheetData>
    <row r="1" spans="1:15" ht="18">
      <c r="A1" s="150" t="s">
        <v>0</v>
      </c>
      <c r="B1" s="164" t="s">
        <v>116</v>
      </c>
      <c r="C1" s="175"/>
      <c r="D1" s="175"/>
      <c r="E1" s="175"/>
      <c r="F1" s="155"/>
      <c r="L1" s="173" t="s">
        <v>24</v>
      </c>
      <c r="M1" s="174"/>
      <c r="N1" s="157">
        <v>40513</v>
      </c>
      <c r="O1" s="23"/>
    </row>
    <row r="2" spans="2:4" ht="4.5" customHeight="1">
      <c r="B2" s="177"/>
      <c r="C2" s="178"/>
      <c r="D2" s="178"/>
    </row>
    <row r="3" ht="17.25" thickBot="1"/>
    <row r="4" spans="1:17" ht="17.25">
      <c r="A4" s="25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35</v>
      </c>
      <c r="I4" s="172"/>
      <c r="J4" s="171" t="s">
        <v>33</v>
      </c>
      <c r="K4" s="172"/>
      <c r="L4" s="171" t="s">
        <v>37</v>
      </c>
      <c r="M4" s="172"/>
      <c r="N4" s="171" t="s">
        <v>34</v>
      </c>
      <c r="O4" s="172"/>
      <c r="P4" s="26" t="s">
        <v>5</v>
      </c>
      <c r="Q4" s="26" t="s">
        <v>39</v>
      </c>
    </row>
    <row r="5" spans="1:17" ht="17.25">
      <c r="A5" s="27"/>
      <c r="B5" s="28" t="s">
        <v>32</v>
      </c>
      <c r="C5" s="28" t="s">
        <v>38</v>
      </c>
      <c r="D5" s="28" t="s">
        <v>32</v>
      </c>
      <c r="E5" s="28" t="s">
        <v>38</v>
      </c>
      <c r="F5" s="28" t="s">
        <v>32</v>
      </c>
      <c r="G5" s="28" t="s">
        <v>38</v>
      </c>
      <c r="H5" s="28" t="s">
        <v>32</v>
      </c>
      <c r="I5" s="28" t="s">
        <v>38</v>
      </c>
      <c r="J5" s="28" t="s">
        <v>32</v>
      </c>
      <c r="K5" s="28" t="s">
        <v>38</v>
      </c>
      <c r="L5" s="28" t="s">
        <v>32</v>
      </c>
      <c r="M5" s="28" t="s">
        <v>38</v>
      </c>
      <c r="N5" s="28" t="s">
        <v>32</v>
      </c>
      <c r="O5" s="28" t="s">
        <v>38</v>
      </c>
      <c r="P5" s="126" t="s">
        <v>26</v>
      </c>
      <c r="Q5" s="30" t="s">
        <v>40</v>
      </c>
    </row>
    <row r="6" spans="1:18" ht="17.25">
      <c r="A6" s="31" t="s">
        <v>15</v>
      </c>
      <c r="B6" s="32">
        <f>987086+1500000+205900</f>
        <v>2692986</v>
      </c>
      <c r="C6" s="33">
        <f>22393.56+664922.74+3148.64+60964+7740.63+73028.2</f>
        <v>832197.77</v>
      </c>
      <c r="D6" s="68">
        <f>13500-5000+1687000+3000</f>
        <v>1698500</v>
      </c>
      <c r="E6" s="33">
        <f>620+73091.82</f>
        <v>73711.82</v>
      </c>
      <c r="F6" s="68">
        <f>359590-50000+816000+200000</f>
        <v>1325590</v>
      </c>
      <c r="G6" s="33">
        <f>24344.31+372975.91</f>
        <v>397320.22</v>
      </c>
      <c r="H6" s="68">
        <v>44400</v>
      </c>
      <c r="I6" s="33">
        <f>3012.17+126627.83</f>
        <v>129640</v>
      </c>
      <c r="J6" s="68">
        <v>30000</v>
      </c>
      <c r="K6" s="33">
        <v>2680.85</v>
      </c>
      <c r="L6" s="68">
        <v>0</v>
      </c>
      <c r="M6" s="33">
        <v>33522.31</v>
      </c>
      <c r="N6" s="68">
        <v>775264</v>
      </c>
      <c r="O6" s="33">
        <v>284825.19</v>
      </c>
      <c r="P6" s="34">
        <f aca="true" t="shared" si="0" ref="P6:P12">+O6+M6+K6+I6+G6+E6+C6</f>
        <v>1753898.16</v>
      </c>
      <c r="Q6" s="34">
        <f aca="true" t="shared" si="1" ref="Q6:Q12">+B6+D6+F6+H6+J6+L6+N6-P6</f>
        <v>4812841.84</v>
      </c>
      <c r="R6" s="5"/>
    </row>
    <row r="7" spans="1:18" ht="17.25">
      <c r="A7" s="31" t="s">
        <v>117</v>
      </c>
      <c r="B7" s="32">
        <v>1085238</v>
      </c>
      <c r="C7" s="33">
        <f>26291.89+545165.85+15975.47+180087.22+26439.08+280516.99</f>
        <v>1074476.5</v>
      </c>
      <c r="D7" s="68">
        <f>65912-5000</f>
        <v>60912</v>
      </c>
      <c r="E7" s="33">
        <v>70957.22</v>
      </c>
      <c r="F7" s="68">
        <v>244575</v>
      </c>
      <c r="G7" s="33">
        <f>215808.18+66701.03</f>
        <v>282509.20999999996</v>
      </c>
      <c r="H7" s="68">
        <v>0</v>
      </c>
      <c r="I7" s="33">
        <v>8100</v>
      </c>
      <c r="J7" s="68">
        <v>3000</v>
      </c>
      <c r="K7" s="33">
        <v>2496.89</v>
      </c>
      <c r="L7" s="68">
        <v>23000</v>
      </c>
      <c r="M7" s="33">
        <f>129.72+4456.94</f>
        <v>4586.66</v>
      </c>
      <c r="N7" s="68">
        <v>0</v>
      </c>
      <c r="O7" s="33">
        <v>30126.81</v>
      </c>
      <c r="P7" s="34">
        <f>+O7+M7+K7+I7+G7+E7+C7</f>
        <v>1473253.29</v>
      </c>
      <c r="Q7" s="34">
        <f t="shared" si="1"/>
        <v>-56528.29000000004</v>
      </c>
      <c r="R7" s="5"/>
    </row>
    <row r="8" spans="1:18" ht="17.25">
      <c r="A8" s="31" t="s">
        <v>118</v>
      </c>
      <c r="B8" s="32">
        <v>3969640</v>
      </c>
      <c r="C8" s="33">
        <f>224639.24+3998609.56</f>
        <v>4223248.8</v>
      </c>
      <c r="D8" s="68">
        <f>483500+30000</f>
        <v>513500</v>
      </c>
      <c r="E8" s="33">
        <f>7166.95+1283821.78</f>
        <v>1290988.73</v>
      </c>
      <c r="F8" s="68">
        <v>765550</v>
      </c>
      <c r="G8" s="33">
        <f>53940+978842.05</f>
        <v>1032782.05</v>
      </c>
      <c r="H8" s="68">
        <v>0</v>
      </c>
      <c r="I8" s="33">
        <v>0</v>
      </c>
      <c r="J8" s="68">
        <v>0</v>
      </c>
      <c r="K8" s="33">
        <v>23962.32</v>
      </c>
      <c r="L8" s="68">
        <v>0</v>
      </c>
      <c r="M8" s="33">
        <v>40807.01</v>
      </c>
      <c r="N8" s="68">
        <v>0</v>
      </c>
      <c r="O8" s="33">
        <v>173086.36</v>
      </c>
      <c r="P8" s="34">
        <f t="shared" si="0"/>
        <v>6784875.27</v>
      </c>
      <c r="Q8" s="34">
        <f t="shared" si="1"/>
        <v>-1536185.2699999996</v>
      </c>
      <c r="R8" s="5"/>
    </row>
    <row r="9" spans="1:18" ht="17.25">
      <c r="A9" s="31" t="s">
        <v>41</v>
      </c>
      <c r="B9" s="32">
        <v>1773070</v>
      </c>
      <c r="C9" s="33">
        <f>252370.9+1841073.41+8221.77+30527.7</f>
        <v>2132193.78</v>
      </c>
      <c r="D9" s="68">
        <f>485900+180000+400000</f>
        <v>1065900</v>
      </c>
      <c r="E9" s="33">
        <f>23562.69+656331.71+2415.4</f>
        <v>682309.7999999999</v>
      </c>
      <c r="F9" s="68">
        <v>156200</v>
      </c>
      <c r="G9" s="33">
        <f>1600+213603.77</f>
        <v>215203.77</v>
      </c>
      <c r="H9" s="68">
        <v>0</v>
      </c>
      <c r="I9" s="33">
        <v>0</v>
      </c>
      <c r="J9" s="68">
        <v>0</v>
      </c>
      <c r="K9" s="33">
        <v>28544.33</v>
      </c>
      <c r="L9" s="68">
        <f>16000+50000</f>
        <v>66000</v>
      </c>
      <c r="M9" s="33">
        <v>86999.52</v>
      </c>
      <c r="N9" s="68">
        <v>0</v>
      </c>
      <c r="O9" s="33">
        <v>212244.94</v>
      </c>
      <c r="P9" s="34">
        <f t="shared" si="0"/>
        <v>3357496.1399999997</v>
      </c>
      <c r="Q9" s="34">
        <f t="shared" si="1"/>
        <v>-296326.13999999966</v>
      </c>
      <c r="R9" s="5"/>
    </row>
    <row r="10" spans="1:18" ht="17.25">
      <c r="A10" s="31" t="s">
        <v>119</v>
      </c>
      <c r="B10" s="32">
        <v>86085</v>
      </c>
      <c r="C10" s="33">
        <f>21052.99+64633.91</f>
        <v>85686.90000000001</v>
      </c>
      <c r="D10" s="100">
        <f>346600+40000</f>
        <v>386600</v>
      </c>
      <c r="E10" s="80">
        <f>1022+142121.48</f>
        <v>143143.48</v>
      </c>
      <c r="F10" s="100">
        <v>0</v>
      </c>
      <c r="G10" s="80">
        <f>1840+20914.18</f>
        <v>22754.18</v>
      </c>
      <c r="H10" s="100">
        <v>0</v>
      </c>
      <c r="I10" s="80">
        <v>0</v>
      </c>
      <c r="J10" s="100">
        <v>5000</v>
      </c>
      <c r="K10" s="80">
        <v>11012.21</v>
      </c>
      <c r="L10" s="100">
        <v>200000</v>
      </c>
      <c r="M10" s="80">
        <v>274647.05</v>
      </c>
      <c r="N10" s="100">
        <v>0</v>
      </c>
      <c r="O10" s="80">
        <v>8508.33</v>
      </c>
      <c r="P10" s="34">
        <f t="shared" si="0"/>
        <v>545752.15</v>
      </c>
      <c r="Q10" s="34">
        <f t="shared" si="1"/>
        <v>131932.84999999998</v>
      </c>
      <c r="R10" s="5"/>
    </row>
    <row r="11" spans="1:18" ht="17.25">
      <c r="A11" s="31" t="s">
        <v>120</v>
      </c>
      <c r="B11" s="32">
        <v>374455</v>
      </c>
      <c r="C11" s="33">
        <f>30524.16+462392.47</f>
        <v>492916.62999999995</v>
      </c>
      <c r="D11" s="68">
        <v>230000</v>
      </c>
      <c r="E11" s="33">
        <f>9540.22+370309.52</f>
        <v>379849.74</v>
      </c>
      <c r="F11" s="68">
        <f>1500000+330000</f>
        <v>1830000</v>
      </c>
      <c r="G11" s="33">
        <v>1747445.2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20</v>
      </c>
      <c r="N11" s="100">
        <v>0</v>
      </c>
      <c r="O11" s="33">
        <v>164590</v>
      </c>
      <c r="P11" s="34">
        <f t="shared" si="0"/>
        <v>2784821.57</v>
      </c>
      <c r="Q11" s="34">
        <f t="shared" si="1"/>
        <v>-350366.56999999983</v>
      </c>
      <c r="R11" s="5"/>
    </row>
    <row r="12" spans="1:18" ht="17.25">
      <c r="A12" s="31" t="s">
        <v>80</v>
      </c>
      <c r="B12" s="32">
        <v>4010583</v>
      </c>
      <c r="C12" s="33">
        <f>502838.31+2543285.4+94165.03+274915.32+2738.55+10434.72+20661.43+49410.76</f>
        <v>3498449.5199999996</v>
      </c>
      <c r="D12" s="68">
        <f>192446-70000-3000</f>
        <v>119446</v>
      </c>
      <c r="E12" s="33">
        <f>8632.6+311199.8+240</f>
        <v>320072.39999999997</v>
      </c>
      <c r="F12" s="68">
        <v>202900</v>
      </c>
      <c r="G12" s="33">
        <f>428574.28+20310.06+10528.07</f>
        <v>459412.41000000003</v>
      </c>
      <c r="H12" s="68">
        <v>2000</v>
      </c>
      <c r="I12" s="33">
        <v>3815.36</v>
      </c>
      <c r="J12" s="68">
        <f>8500+5000</f>
        <v>13500</v>
      </c>
      <c r="K12" s="33">
        <v>72210.98</v>
      </c>
      <c r="L12" s="68">
        <f>216600+473000</f>
        <v>689600</v>
      </c>
      <c r="M12" s="33">
        <f>11635.28+596597.55</f>
        <v>608232.8300000001</v>
      </c>
      <c r="N12" s="68">
        <v>0</v>
      </c>
      <c r="O12" s="33">
        <v>87207.48</v>
      </c>
      <c r="P12" s="34">
        <f t="shared" si="0"/>
        <v>5049400.9799999995</v>
      </c>
      <c r="Q12" s="34">
        <f t="shared" si="1"/>
        <v>-11371.979999999516</v>
      </c>
      <c r="R12" s="5"/>
    </row>
    <row r="13" spans="1:18" ht="18" thickBot="1">
      <c r="A13" s="38" t="s">
        <v>11</v>
      </c>
      <c r="B13" s="39">
        <f aca="true" t="shared" si="2" ref="B13:Q13">SUM(B6:B12)</f>
        <v>13992057</v>
      </c>
      <c r="C13" s="40">
        <f t="shared" si="2"/>
        <v>12339169.9</v>
      </c>
      <c r="D13" s="39">
        <f t="shared" si="2"/>
        <v>4074858</v>
      </c>
      <c r="E13" s="40">
        <f t="shared" si="2"/>
        <v>2961033.19</v>
      </c>
      <c r="F13" s="39">
        <f t="shared" si="2"/>
        <v>4524815</v>
      </c>
      <c r="G13" s="40">
        <f t="shared" si="2"/>
        <v>4157427.04</v>
      </c>
      <c r="H13" s="39">
        <f t="shared" si="2"/>
        <v>46400</v>
      </c>
      <c r="I13" s="40">
        <f t="shared" si="2"/>
        <v>141555.36</v>
      </c>
      <c r="J13" s="39">
        <f t="shared" si="2"/>
        <v>51500</v>
      </c>
      <c r="K13" s="40">
        <f t="shared" si="2"/>
        <v>140907.58000000002</v>
      </c>
      <c r="L13" s="39">
        <f t="shared" si="2"/>
        <v>978600</v>
      </c>
      <c r="M13" s="40">
        <f t="shared" si="2"/>
        <v>1048815.3800000001</v>
      </c>
      <c r="N13" s="39">
        <f t="shared" si="2"/>
        <v>775264</v>
      </c>
      <c r="O13" s="40">
        <f t="shared" si="2"/>
        <v>960589.11</v>
      </c>
      <c r="P13" s="42">
        <f>SUM(P6:P12)</f>
        <v>21749497.56</v>
      </c>
      <c r="Q13" s="42">
        <f t="shared" si="2"/>
        <v>2693996.4400000013</v>
      </c>
      <c r="R13" s="5"/>
    </row>
    <row r="14" spans="1:17" ht="17.25" thickBot="1">
      <c r="A14" s="38" t="s">
        <v>31</v>
      </c>
      <c r="B14" s="88"/>
      <c r="C14" s="93">
        <f>+C13/B13</f>
        <v>0.8818696135957709</v>
      </c>
      <c r="D14" s="93"/>
      <c r="E14" s="93">
        <f>+E13/D13</f>
        <v>0.7266592332788038</v>
      </c>
      <c r="F14" s="93"/>
      <c r="G14" s="93">
        <f>+G13/F13</f>
        <v>0.9188059710728504</v>
      </c>
      <c r="H14" s="93"/>
      <c r="I14" s="93">
        <f>+I13/H13</f>
        <v>3.050762068965517</v>
      </c>
      <c r="J14" s="93"/>
      <c r="K14" s="93">
        <f>+K13/J13</f>
        <v>2.7360695145631073</v>
      </c>
      <c r="L14" s="153"/>
      <c r="M14" s="151">
        <f>+M13/L13</f>
        <v>1.071750848150419</v>
      </c>
      <c r="N14" s="45"/>
      <c r="O14" s="145">
        <f>+O13/N13</f>
        <v>1.2390477437363272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5"/>
    </row>
    <row r="16" spans="16:17" ht="16.5">
      <c r="P16" s="48"/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27</v>
      </c>
      <c r="B49" s="71" t="s">
        <v>28</v>
      </c>
      <c r="C49" s="62" t="s">
        <v>29</v>
      </c>
      <c r="D49" s="62"/>
    </row>
    <row r="50" spans="1:3" ht="17.25">
      <c r="A50" s="64">
        <f>+B13</f>
        <v>13992057</v>
      </c>
      <c r="B50" s="65">
        <f>+C13</f>
        <v>12339169.9</v>
      </c>
      <c r="C50" s="62" t="s">
        <v>1</v>
      </c>
    </row>
    <row r="51" spans="1:3" ht="17.25">
      <c r="A51" s="64">
        <f>+D13</f>
        <v>4074858</v>
      </c>
      <c r="B51" s="65">
        <f>+E13</f>
        <v>2961033.19</v>
      </c>
      <c r="C51" s="62" t="s">
        <v>2</v>
      </c>
    </row>
    <row r="52" spans="1:3" ht="17.25">
      <c r="A52" s="64">
        <f>+F13</f>
        <v>4524815</v>
      </c>
      <c r="B52" s="65">
        <f>+G13</f>
        <v>4157427.04</v>
      </c>
      <c r="C52" s="62" t="s">
        <v>3</v>
      </c>
    </row>
    <row r="53" spans="1:3" ht="17.25">
      <c r="A53" s="66">
        <f>+H13</f>
        <v>46400</v>
      </c>
      <c r="B53" s="65">
        <f>+I13</f>
        <v>141555.36</v>
      </c>
      <c r="C53" s="62" t="s">
        <v>35</v>
      </c>
    </row>
    <row r="54" spans="1:3" ht="17.25">
      <c r="A54" s="66">
        <f>+J13</f>
        <v>51500</v>
      </c>
      <c r="B54" s="65">
        <f>+K13</f>
        <v>140907.58000000002</v>
      </c>
      <c r="C54" s="62" t="s">
        <v>33</v>
      </c>
    </row>
    <row r="55" spans="1:3" ht="17.25">
      <c r="A55" s="64">
        <f>+L13</f>
        <v>978600</v>
      </c>
      <c r="B55" s="65">
        <f>+M13</f>
        <v>1048815.3800000001</v>
      </c>
      <c r="C55" s="62" t="s">
        <v>30</v>
      </c>
    </row>
    <row r="56" spans="1:3" ht="17.25">
      <c r="A56" s="64">
        <f>+N13</f>
        <v>775264</v>
      </c>
      <c r="B56" s="65">
        <f>+O13</f>
        <v>960589.11</v>
      </c>
      <c r="C56" s="62" t="s">
        <v>36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N4:O4"/>
    <mergeCell ref="B4:C4"/>
    <mergeCell ref="D4:E4"/>
    <mergeCell ref="F4:G4"/>
    <mergeCell ref="H4:I4"/>
    <mergeCell ref="B2:D2"/>
    <mergeCell ref="J4:K4"/>
    <mergeCell ref="L4:M4"/>
    <mergeCell ref="L1:M1"/>
    <mergeCell ref="B1:E1"/>
  </mergeCells>
  <printOptions/>
  <pageMargins left="0.45" right="0.26" top="0.84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2011-04-11T16:25:54Z</cp:lastPrinted>
  <dcterms:created xsi:type="dcterms:W3CDTF">2000-04-26T12:06:38Z</dcterms:created>
  <dcterms:modified xsi:type="dcterms:W3CDTF">2011-04-11T16:25:55Z</dcterms:modified>
  <cp:category/>
  <cp:version/>
  <cp:contentType/>
  <cp:contentStatus/>
</cp:coreProperties>
</file>