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745" windowHeight="6690" tabRatio="677" activeTab="11"/>
  </bookViews>
  <sheets>
    <sheet name="INT" sheetId="1" r:id="rId1"/>
    <sheet name="GOB" sheetId="2" r:id="rId2"/>
    <sheet name="SEH" sheetId="3" r:id="rId3"/>
    <sheet name="SAS" sheetId="4" r:id="rId4"/>
    <sheet name="SOP" sheetId="5" r:id="rId5"/>
    <sheet name="SFOI" sheetId="6" r:id="rId6"/>
    <sheet name="CD" sheetId="7" r:id="rId7"/>
    <sheet name="CM" sheetId="8" r:id="rId8"/>
    <sheet name="SSP" sheetId="9" r:id="rId9"/>
    <sheet name="CULT." sheetId="10" r:id="rId10"/>
    <sheet name="DEP." sheetId="11" r:id="rId11"/>
    <sheet name="TOTAL" sheetId="12" r:id="rId12"/>
  </sheets>
  <definedNames/>
  <calcPr fullCalcOnLoad="1"/>
</workbook>
</file>

<file path=xl/sharedStrings.xml><?xml version="1.0" encoding="utf-8"?>
<sst xmlns="http://schemas.openxmlformats.org/spreadsheetml/2006/main" count="554" uniqueCount="140">
  <si>
    <t>AREA:</t>
  </si>
  <si>
    <t>PERSONAL</t>
  </si>
  <si>
    <t>CONSUMO</t>
  </si>
  <si>
    <t>SERVICIOS</t>
  </si>
  <si>
    <t>TRANS.CTES.</t>
  </si>
  <si>
    <t>TOTAL</t>
  </si>
  <si>
    <t>Dir.Hacienda</t>
  </si>
  <si>
    <t>Dir.Informática</t>
  </si>
  <si>
    <t>Dir.Suministros</t>
  </si>
  <si>
    <t>Tesorería</t>
  </si>
  <si>
    <t>Contaduría</t>
  </si>
  <si>
    <t>TOTALES</t>
  </si>
  <si>
    <t>Dir.Planeamiento</t>
  </si>
  <si>
    <t>Dir.Arquitectura</t>
  </si>
  <si>
    <t>Dir.Des.Urbano</t>
  </si>
  <si>
    <t>Secretaría</t>
  </si>
  <si>
    <t>Intendencia</t>
  </si>
  <si>
    <t>Sec.Gobierno</t>
  </si>
  <si>
    <t>Sec.Econ.y Hacienda</t>
  </si>
  <si>
    <t>Sec.Obras Públicas</t>
  </si>
  <si>
    <t>Sec.Servicios Públicos</t>
  </si>
  <si>
    <t>Sec.Acción Social</t>
  </si>
  <si>
    <t>Concejo Deliberante</t>
  </si>
  <si>
    <t>Contraloría Municipal</t>
  </si>
  <si>
    <t>ACUMULADO A:</t>
  </si>
  <si>
    <t>SALDO</t>
  </si>
  <si>
    <t>EJECUTADO</t>
  </si>
  <si>
    <t>PRESUPUESTO</t>
  </si>
  <si>
    <t>EJECUCION</t>
  </si>
  <si>
    <t>RUBRO</t>
  </si>
  <si>
    <t>TRAB.PUBL.</t>
  </si>
  <si>
    <t>% EJECUTADO</t>
  </si>
  <si>
    <t>crédito</t>
  </si>
  <si>
    <t>BS.CAP.+BS.PREEX.</t>
  </si>
  <si>
    <t>AMORTIZ.DEUDA</t>
  </si>
  <si>
    <t>TRANSF.CTES.</t>
  </si>
  <si>
    <t>AMORT.DDA.</t>
  </si>
  <si>
    <t>TRABAJOS PUBLICOS</t>
  </si>
  <si>
    <t>ejecución</t>
  </si>
  <si>
    <t>SDO. CTO.</t>
  </si>
  <si>
    <t>PPTO.</t>
  </si>
  <si>
    <t xml:space="preserve">Dir.Talleres </t>
  </si>
  <si>
    <t>EJECUCION PRESUPUESTARIA POR AREAS</t>
  </si>
  <si>
    <t>Datos al:</t>
  </si>
  <si>
    <t>AREA</t>
  </si>
  <si>
    <t xml:space="preserve">CREDITO </t>
  </si>
  <si>
    <t xml:space="preserve">% </t>
  </si>
  <si>
    <t xml:space="preserve">EJECUCION DEL GASTO (valores acumulados) </t>
  </si>
  <si>
    <t>POR  AREA</t>
  </si>
  <si>
    <t>ejecutado</t>
  </si>
  <si>
    <t>BS.CAP+PREEX.</t>
  </si>
  <si>
    <t>CTO.PTO.</t>
  </si>
  <si>
    <t>% ejecutado por rubros</t>
  </si>
  <si>
    <t>Referencias:</t>
  </si>
  <si>
    <t>sdo.cto.pto.</t>
  </si>
  <si>
    <t>amort.dda.</t>
  </si>
  <si>
    <t>trab.públ.</t>
  </si>
  <si>
    <t>bs.cap+preex.</t>
  </si>
  <si>
    <t>transf.ctes.</t>
  </si>
  <si>
    <t>servicios</t>
  </si>
  <si>
    <t>consumo</t>
  </si>
  <si>
    <t>personal</t>
  </si>
  <si>
    <t>trans.</t>
  </si>
  <si>
    <t>bs.cap+preex</t>
  </si>
  <si>
    <t>trab.publ</t>
  </si>
  <si>
    <t>sdo.cto.</t>
  </si>
  <si>
    <t>total</t>
  </si>
  <si>
    <t>INT</t>
  </si>
  <si>
    <t>GOB</t>
  </si>
  <si>
    <t>SEH</t>
  </si>
  <si>
    <t>SOP</t>
  </si>
  <si>
    <t>SSP</t>
  </si>
  <si>
    <t>SAS</t>
  </si>
  <si>
    <t>CD</t>
  </si>
  <si>
    <t>CM</t>
  </si>
  <si>
    <t>Dir.Admin.y Técnica</t>
  </si>
  <si>
    <t>Dir.Administrativa</t>
  </si>
  <si>
    <t>Dir.Desarrollo Social</t>
  </si>
  <si>
    <t>Dir.Com.Institucional</t>
  </si>
  <si>
    <t>Dir.Protección Civil</t>
  </si>
  <si>
    <t>Dir.Planeam.</t>
  </si>
  <si>
    <t>Dir.Obr.Infraest.</t>
  </si>
  <si>
    <t>BS.CAP+BS.PREEX.</t>
  </si>
  <si>
    <t>Dir.Prom.Comunitaria</t>
  </si>
  <si>
    <t>Dir.Gral.Adm.L.yT.</t>
  </si>
  <si>
    <t>Dir.Asunt.Cont.yDict.</t>
  </si>
  <si>
    <t xml:space="preserve"> </t>
  </si>
  <si>
    <t>Sec.Fisc.y Org.Interna</t>
  </si>
  <si>
    <t xml:space="preserve">                 TRAB.PUBLICOS</t>
  </si>
  <si>
    <t>Dir.Rec.Humanos</t>
  </si>
  <si>
    <t>Dir.Comerc.y Bromat.</t>
  </si>
  <si>
    <t>Dir.Tráns.y Transp.</t>
  </si>
  <si>
    <t>Privada</t>
  </si>
  <si>
    <t>IUNA</t>
  </si>
  <si>
    <t>Centro Cultural</t>
  </si>
  <si>
    <t>CULT.</t>
  </si>
  <si>
    <t>DEP.</t>
  </si>
  <si>
    <t>TRAB.PUBLICOS</t>
  </si>
  <si>
    <t>Presidencia</t>
  </si>
  <si>
    <t>SFOI</t>
  </si>
  <si>
    <t>Unid.Des.Económico</t>
  </si>
  <si>
    <t>Asesoria en Seg.</t>
  </si>
  <si>
    <t>TRAB. PÚBLICOS</t>
  </si>
  <si>
    <t>Dir.Recaudaciones</t>
  </si>
  <si>
    <t>TRAB. PUBLICOS</t>
  </si>
  <si>
    <t>INTENDENCIA  MUNICIPAL</t>
  </si>
  <si>
    <t>SECRETARIA DE  GOBIERNO</t>
  </si>
  <si>
    <t>Juzgado de Faltas</t>
  </si>
  <si>
    <t>Dir.Inform.y Estadistica</t>
  </si>
  <si>
    <t>SECRETARIA DE  ECONOMÍA  Y  HACIENDA</t>
  </si>
  <si>
    <t>SECRETARIA DE ACCIÓN  SOCIAL</t>
  </si>
  <si>
    <t>SECRETARIA DE FISCALIZACIÓN Y  ORGANIZACIÓN  INTERNA</t>
  </si>
  <si>
    <t>CONCEJO  DELIBERANTE</t>
  </si>
  <si>
    <t>Bloque Frente Grande</t>
  </si>
  <si>
    <t>Bloque Conc.p/Desarrollo</t>
  </si>
  <si>
    <t>CONTRALORIA  MUNICIPAL</t>
  </si>
  <si>
    <t>SECRETARIA DE SERVICIOS  PÚBLICOS</t>
  </si>
  <si>
    <t>Dir.Scios.Grales.</t>
  </si>
  <si>
    <t>Dpto.San.Higiene</t>
  </si>
  <si>
    <t>Dpto. Talleres</t>
  </si>
  <si>
    <t>Dpto.Riego</t>
  </si>
  <si>
    <t>DIRECCIÓN   GENERAL  DE  CULTURA</t>
  </si>
  <si>
    <t>DIRECCIÓN   GENERAL  DE  DEPORTES</t>
  </si>
  <si>
    <t>Dir.Gral. de Cultura</t>
  </si>
  <si>
    <t>Dir.Gral. de Deportes</t>
  </si>
  <si>
    <t>Dir. Desarrollo Social</t>
  </si>
  <si>
    <t>Secretaria</t>
  </si>
  <si>
    <t>Dir.Museo y Patrimonio</t>
  </si>
  <si>
    <t>Dirección</t>
  </si>
  <si>
    <t>Coord.Téc.Act.Fisicas y Rec.</t>
  </si>
  <si>
    <t>Coord.Téc.Deport.y Eventos</t>
  </si>
  <si>
    <t xml:space="preserve">                TRANSF. CTES.</t>
  </si>
  <si>
    <t>Coord.Artes Dramáticas</t>
  </si>
  <si>
    <t>Coord.Artes Sonoras</t>
  </si>
  <si>
    <t>Coord.Relac.Culturales</t>
  </si>
  <si>
    <t>Coord.Artes Visuales</t>
  </si>
  <si>
    <t>Coord. Artes del Movim.</t>
  </si>
  <si>
    <t>Coord. Talleres Barriales</t>
  </si>
  <si>
    <t>SECRETARIA  DE OBRAS  PÚBLICAS</t>
  </si>
  <si>
    <t>Dpto. Tercera Edad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</si>
</sst>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00"/>
    <numFmt numFmtId="175" formatCode="0.00000000"/>
    <numFmt numFmtId="176" formatCode="#,##0.000"/>
    <numFmt numFmtId="177" formatCode="#,##0.0000"/>
    <numFmt numFmtId="178" formatCode="#,##0.00000"/>
    <numFmt numFmtId="179" formatCode="0.0000%"/>
    <numFmt numFmtId="180" formatCode="0.000%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_);\(0\)"/>
    <numFmt numFmtId="188" formatCode="&quot;$&quot;\ #,##0"/>
    <numFmt numFmtId="189" formatCode="0.00000%"/>
    <numFmt numFmtId="190" formatCode="0.000000%"/>
  </numFmts>
  <fonts count="61">
    <font>
      <sz val="11"/>
      <name val="Garamond"/>
      <family val="0"/>
    </font>
    <font>
      <sz val="20.5"/>
      <name val="Garamond"/>
      <family val="0"/>
    </font>
    <font>
      <sz val="21.75"/>
      <name val="Garamond"/>
      <family val="0"/>
    </font>
    <font>
      <sz val="23.5"/>
      <name val="Garamond"/>
      <family val="0"/>
    </font>
    <font>
      <sz val="21.25"/>
      <name val="Garamond"/>
      <family val="0"/>
    </font>
    <font>
      <sz val="21.5"/>
      <name val="Garamond"/>
      <family val="0"/>
    </font>
    <font>
      <sz val="22.5"/>
      <name val="Garamond"/>
      <family val="0"/>
    </font>
    <font>
      <sz val="21"/>
      <name val="Garamond"/>
      <family val="0"/>
    </font>
    <font>
      <sz val="28.75"/>
      <name val="Garamond"/>
      <family val="0"/>
    </font>
    <font>
      <sz val="20.75"/>
      <name val="Garamond"/>
      <family val="0"/>
    </font>
    <font>
      <sz val="22"/>
      <name val="Garamond"/>
      <family val="0"/>
    </font>
    <font>
      <sz val="20.25"/>
      <name val="Garamond"/>
      <family val="0"/>
    </font>
    <font>
      <sz val="8"/>
      <name val="Garamond"/>
      <family val="0"/>
    </font>
    <font>
      <sz val="29"/>
      <name val="Garamond"/>
      <family val="0"/>
    </font>
    <font>
      <sz val="29.75"/>
      <name val="Garamond"/>
      <family val="0"/>
    </font>
    <font>
      <b/>
      <sz val="9"/>
      <name val="Trebuchet MS"/>
      <family val="2"/>
    </font>
    <font>
      <b/>
      <i/>
      <sz val="9"/>
      <name val="Trebuchet MS"/>
      <family val="2"/>
    </font>
    <font>
      <b/>
      <i/>
      <u val="single"/>
      <sz val="12"/>
      <name val="Trebuchet MS"/>
      <family val="2"/>
    </font>
    <font>
      <b/>
      <i/>
      <u val="single"/>
      <sz val="11.25"/>
      <name val="Trebuchet MS"/>
      <family val="2"/>
    </font>
    <font>
      <b/>
      <i/>
      <u val="single"/>
      <sz val="11.5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i/>
      <sz val="8"/>
      <name val="Trebuchet MS"/>
      <family val="2"/>
    </font>
    <font>
      <b/>
      <i/>
      <sz val="10"/>
      <name val="Trebuchet MS"/>
      <family val="2"/>
    </font>
    <font>
      <b/>
      <i/>
      <u val="single"/>
      <sz val="10.25"/>
      <name val="Trebuchet MS"/>
      <family val="2"/>
    </font>
    <font>
      <b/>
      <sz val="7.25"/>
      <name val="Trebuchet MS"/>
      <family val="2"/>
    </font>
    <font>
      <b/>
      <sz val="11"/>
      <color indexed="9"/>
      <name val="Trebuchet MS"/>
      <family val="2"/>
    </font>
    <font>
      <sz val="11"/>
      <color indexed="21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1"/>
      <color indexed="2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color indexed="44"/>
      <name val="Trebuchet MS"/>
      <family val="2"/>
    </font>
    <font>
      <sz val="6"/>
      <name val="Trebuchet MS"/>
      <family val="2"/>
    </font>
    <font>
      <sz val="11"/>
      <color indexed="9"/>
      <name val="Trebuchet MS"/>
      <family val="2"/>
    </font>
    <font>
      <sz val="11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name val="Trebuchet MS"/>
      <family val="2"/>
    </font>
    <font>
      <b/>
      <i/>
      <sz val="11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2"/>
      <color indexed="56"/>
      <name val="Trebuchet MS"/>
      <family val="2"/>
    </font>
    <font>
      <b/>
      <sz val="11"/>
      <color indexed="20"/>
      <name val="Trebuchet MS"/>
      <family val="2"/>
    </font>
    <font>
      <b/>
      <sz val="11"/>
      <color indexed="30"/>
      <name val="Trebuchet MS"/>
      <family val="2"/>
    </font>
    <font>
      <b/>
      <sz val="7"/>
      <name val="Trebuchet MS"/>
      <family val="2"/>
    </font>
    <font>
      <b/>
      <sz val="5"/>
      <name val="Trebuchet MS"/>
      <family val="2"/>
    </font>
    <font>
      <sz val="11"/>
      <color indexed="20"/>
      <name val="Garamond"/>
      <family val="0"/>
    </font>
    <font>
      <b/>
      <sz val="6.75"/>
      <name val="Trebuchet MS"/>
      <family val="2"/>
    </font>
    <font>
      <sz val="12"/>
      <color indexed="20"/>
      <name val="Garamond"/>
      <family val="0"/>
    </font>
    <font>
      <b/>
      <sz val="6.5"/>
      <name val="Trebuchet MS"/>
      <family val="2"/>
    </font>
    <font>
      <b/>
      <sz val="7.5"/>
      <name val="Trebuchet MS"/>
      <family val="2"/>
    </font>
    <font>
      <b/>
      <sz val="5.75"/>
      <name val="Trebuchet MS"/>
      <family val="2"/>
    </font>
    <font>
      <b/>
      <sz val="4.75"/>
      <name val="Trebuchet MS"/>
      <family val="2"/>
    </font>
    <font>
      <b/>
      <sz val="6.25"/>
      <name val="Trebuchet MS"/>
      <family val="2"/>
    </font>
    <font>
      <b/>
      <i/>
      <sz val="12"/>
      <color indexed="18"/>
      <name val="Trebuchet MS"/>
      <family val="2"/>
    </font>
    <font>
      <i/>
      <sz val="12"/>
      <color indexed="18"/>
      <name val="Garamond"/>
      <family val="0"/>
    </font>
    <font>
      <i/>
      <sz val="11"/>
      <color indexed="18"/>
      <name val="Garamond"/>
      <family val="0"/>
    </font>
    <font>
      <i/>
      <sz val="12"/>
      <color indexed="18"/>
      <name val="Trebuchet MS"/>
      <family val="2"/>
    </font>
  </fonts>
  <fills count="12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slantDashDot"/>
      <right style="dotted"/>
      <top style="slantDashDot"/>
      <bottom>
        <color indexed="63"/>
      </bottom>
    </border>
    <border>
      <left style="dotted"/>
      <right style="slantDashDot"/>
      <top style="slantDashDot"/>
      <bottom>
        <color indexed="63"/>
      </bottom>
    </border>
    <border>
      <left style="slantDashDot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slantDashDot"/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slantDashDot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slantDashDot"/>
      <top>
        <color indexed="63"/>
      </top>
      <bottom>
        <color indexed="63"/>
      </bottom>
    </border>
    <border>
      <left style="slantDashDot"/>
      <right style="dotted"/>
      <top style="thin"/>
      <bottom style="slantDashDot"/>
    </border>
    <border>
      <left>
        <color indexed="63"/>
      </left>
      <right style="dotted"/>
      <top style="thin"/>
      <bottom style="slantDashDot"/>
    </border>
    <border>
      <left style="dotted"/>
      <right style="dotted"/>
      <top style="thin"/>
      <bottom style="slantDashDot"/>
    </border>
    <border>
      <left style="dotted"/>
      <right style="slantDashDot"/>
      <top style="thin"/>
      <bottom style="slantDashDot"/>
    </border>
    <border>
      <left style="slantDashDot"/>
      <right style="dotted"/>
      <top style="slantDashDot"/>
      <bottom style="slantDashDot"/>
    </border>
    <border>
      <left>
        <color indexed="63"/>
      </left>
      <right style="dotted"/>
      <top style="slantDashDot"/>
      <bottom style="slantDashDot"/>
    </border>
    <border>
      <left style="dotted"/>
      <right style="dotted"/>
      <top style="slantDashDot"/>
      <bottom style="slantDashDot"/>
    </border>
    <border>
      <left style="dotted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tted"/>
      <right>
        <color indexed="63"/>
      </right>
      <top style="thin"/>
      <bottom style="slantDashDot"/>
    </border>
    <border>
      <left style="dotted"/>
      <right>
        <color indexed="63"/>
      </right>
      <top>
        <color indexed="63"/>
      </top>
      <bottom style="slantDashDot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thin"/>
      <bottom style="double"/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tted"/>
      <right style="slantDashDot"/>
      <top style="slantDashDot"/>
      <bottom style="slantDashDot"/>
    </border>
    <border>
      <left style="dotted"/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tted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 style="slantDashDot"/>
    </border>
    <border>
      <left style="double"/>
      <right style="hair"/>
      <top>
        <color indexed="63"/>
      </top>
      <bottom>
        <color indexed="63"/>
      </bottom>
    </border>
    <border>
      <left style="slantDashDot"/>
      <right style="slantDashDot"/>
      <top style="thin"/>
      <bottom style="slantDashDot"/>
    </border>
    <border>
      <left style="hair"/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slantDashDot"/>
      <bottom>
        <color indexed="63"/>
      </bottom>
    </border>
    <border>
      <left>
        <color indexed="63"/>
      </left>
      <right style="dotted"/>
      <top style="slantDashDot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1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" fontId="21" fillId="0" borderId="0" xfId="0" applyNumberFormat="1" applyFont="1" applyAlignment="1">
      <alignment/>
    </xf>
    <xf numFmtId="0" fontId="22" fillId="0" borderId="4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7" xfId="0" applyFont="1" applyBorder="1" applyAlignment="1">
      <alignment/>
    </xf>
    <xf numFmtId="9" fontId="21" fillId="0" borderId="0" xfId="0" applyNumberFormat="1" applyFont="1" applyAlignment="1">
      <alignment/>
    </xf>
    <xf numFmtId="4" fontId="15" fillId="0" borderId="8" xfId="0" applyNumberFormat="1" applyFont="1" applyBorder="1" applyAlignment="1">
      <alignment/>
    </xf>
    <xf numFmtId="10" fontId="15" fillId="0" borderId="8" xfId="0" applyNumberFormat="1" applyFont="1" applyBorder="1" applyAlignment="1">
      <alignment/>
    </xf>
    <xf numFmtId="10" fontId="15" fillId="0" borderId="9" xfId="0" applyNumberFormat="1" applyFont="1" applyBorder="1" applyAlignment="1">
      <alignment/>
    </xf>
    <xf numFmtId="10" fontId="15" fillId="0" borderId="10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" fontId="15" fillId="0" borderId="13" xfId="0" applyNumberFormat="1" applyFont="1" applyBorder="1" applyAlignment="1">
      <alignment/>
    </xf>
    <xf numFmtId="17" fontId="29" fillId="0" borderId="0" xfId="0" applyNumberFormat="1" applyFont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/>
    </xf>
    <xf numFmtId="17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32" fillId="0" borderId="20" xfId="0" applyFont="1" applyBorder="1" applyAlignment="1">
      <alignment/>
    </xf>
    <xf numFmtId="3" fontId="32" fillId="0" borderId="21" xfId="0" applyNumberFormat="1" applyFont="1" applyBorder="1" applyAlignment="1">
      <alignment/>
    </xf>
    <xf numFmtId="4" fontId="33" fillId="0" borderId="22" xfId="0" applyNumberFormat="1" applyFont="1" applyBorder="1" applyAlignment="1">
      <alignment/>
    </xf>
    <xf numFmtId="4" fontId="33" fillId="0" borderId="23" xfId="0" applyNumberFormat="1" applyFont="1" applyBorder="1" applyAlignment="1">
      <alignment/>
    </xf>
    <xf numFmtId="0" fontId="32" fillId="0" borderId="21" xfId="0" applyFont="1" applyBorder="1" applyAlignment="1">
      <alignment/>
    </xf>
    <xf numFmtId="4" fontId="21" fillId="0" borderId="22" xfId="0" applyNumberFormat="1" applyFont="1" applyBorder="1" applyAlignment="1">
      <alignment/>
    </xf>
    <xf numFmtId="4" fontId="33" fillId="0" borderId="21" xfId="0" applyNumberFormat="1" applyFont="1" applyBorder="1" applyAlignment="1">
      <alignment/>
    </xf>
    <xf numFmtId="0" fontId="20" fillId="0" borderId="24" xfId="0" applyFont="1" applyBorder="1" applyAlignment="1">
      <alignment/>
    </xf>
    <xf numFmtId="3" fontId="15" fillId="0" borderId="25" xfId="0" applyNumberFormat="1" applyFont="1" applyBorder="1" applyAlignment="1">
      <alignment/>
    </xf>
    <xf numFmtId="4" fontId="33" fillId="0" borderId="26" xfId="0" applyNumberFormat="1" applyFont="1" applyBorder="1" applyAlignment="1">
      <alignment/>
    </xf>
    <xf numFmtId="4" fontId="33" fillId="0" borderId="25" xfId="0" applyNumberFormat="1" applyFont="1" applyBorder="1" applyAlignment="1">
      <alignment/>
    </xf>
    <xf numFmtId="4" fontId="33" fillId="0" borderId="27" xfId="0" applyNumberFormat="1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9" fontId="21" fillId="0" borderId="30" xfId="19" applyFont="1" applyBorder="1" applyAlignment="1">
      <alignment/>
    </xf>
    <xf numFmtId="9" fontId="21" fillId="0" borderId="30" xfId="19" applyNumberFormat="1" applyFont="1" applyBorder="1" applyAlignment="1">
      <alignment/>
    </xf>
    <xf numFmtId="9" fontId="21" fillId="0" borderId="31" xfId="19" applyFont="1" applyBorder="1" applyAlignment="1">
      <alignment/>
    </xf>
    <xf numFmtId="0" fontId="33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9" fontId="21" fillId="0" borderId="0" xfId="19" applyFont="1" applyBorder="1" applyAlignment="1">
      <alignment/>
    </xf>
    <xf numFmtId="4" fontId="33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4" fontId="15" fillId="0" borderId="0" xfId="0" applyNumberFormat="1" applyFont="1" applyAlignment="1">
      <alignment/>
    </xf>
    <xf numFmtId="171" fontId="33" fillId="0" borderId="0" xfId="15" applyFont="1" applyAlignment="1">
      <alignment/>
    </xf>
    <xf numFmtId="17" fontId="31" fillId="0" borderId="0" xfId="0" applyNumberFormat="1" applyFont="1" applyAlignment="1">
      <alignment/>
    </xf>
    <xf numFmtId="3" fontId="33" fillId="0" borderId="21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3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6" fillId="0" borderId="0" xfId="0" applyFont="1" applyAlignment="1">
      <alignment horizontal="center"/>
    </xf>
    <xf numFmtId="0" fontId="20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3" fontId="32" fillId="0" borderId="22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38" fillId="0" borderId="0" xfId="0" applyFont="1" applyAlignment="1">
      <alignment/>
    </xf>
    <xf numFmtId="17" fontId="39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15" fillId="0" borderId="32" xfId="0" applyFont="1" applyBorder="1" applyAlignment="1">
      <alignment horizontal="center"/>
    </xf>
    <xf numFmtId="3" fontId="33" fillId="0" borderId="22" xfId="0" applyNumberFormat="1" applyFont="1" applyBorder="1" applyAlignment="1">
      <alignment/>
    </xf>
    <xf numFmtId="3" fontId="15" fillId="0" borderId="25" xfId="15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32" fillId="0" borderId="21" xfId="0" applyNumberFormat="1" applyFont="1" applyFill="1" applyBorder="1" applyAlignment="1">
      <alignment/>
    </xf>
    <xf numFmtId="4" fontId="33" fillId="0" borderId="22" xfId="0" applyNumberFormat="1" applyFont="1" applyFill="1" applyBorder="1" applyAlignment="1">
      <alignment/>
    </xf>
    <xf numFmtId="3" fontId="33" fillId="0" borderId="21" xfId="0" applyNumberFormat="1" applyFont="1" applyFill="1" applyBorder="1" applyAlignment="1">
      <alignment/>
    </xf>
    <xf numFmtId="4" fontId="33" fillId="0" borderId="21" xfId="0" applyNumberFormat="1" applyFont="1" applyFill="1" applyBorder="1" applyAlignment="1">
      <alignment/>
    </xf>
    <xf numFmtId="0" fontId="32" fillId="0" borderId="21" xfId="0" applyFont="1" applyFill="1" applyBorder="1" applyAlignment="1">
      <alignment/>
    </xf>
    <xf numFmtId="4" fontId="32" fillId="0" borderId="23" xfId="0" applyNumberFormat="1" applyFont="1" applyBorder="1" applyAlignment="1">
      <alignment/>
    </xf>
    <xf numFmtId="17" fontId="21" fillId="0" borderId="0" xfId="0" applyNumberFormat="1" applyFont="1" applyAlignment="1">
      <alignment/>
    </xf>
    <xf numFmtId="0" fontId="33" fillId="0" borderId="20" xfId="0" applyFont="1" applyBorder="1" applyAlignment="1">
      <alignment/>
    </xf>
    <xf numFmtId="4" fontId="33" fillId="0" borderId="33" xfId="0" applyNumberFormat="1" applyFont="1" applyBorder="1" applyAlignment="1">
      <alignment/>
    </xf>
    <xf numFmtId="0" fontId="20" fillId="0" borderId="25" xfId="0" applyFont="1" applyBorder="1" applyAlignment="1">
      <alignment/>
    </xf>
    <xf numFmtId="9" fontId="21" fillId="0" borderId="26" xfId="19" applyFont="1" applyBorder="1" applyAlignment="1">
      <alignment/>
    </xf>
    <xf numFmtId="9" fontId="21" fillId="0" borderId="34" xfId="19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0" fontId="21" fillId="0" borderId="26" xfId="19" applyNumberFormat="1" applyFont="1" applyBorder="1" applyAlignment="1">
      <alignment/>
    </xf>
    <xf numFmtId="4" fontId="33" fillId="0" borderId="32" xfId="0" applyNumberFormat="1" applyFont="1" applyBorder="1" applyAlignment="1">
      <alignment/>
    </xf>
    <xf numFmtId="0" fontId="40" fillId="0" borderId="0" xfId="0" applyFont="1" applyAlignment="1">
      <alignment/>
    </xf>
    <xf numFmtId="0" fontId="27" fillId="0" borderId="0" xfId="0" applyFont="1" applyFill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3" fontId="20" fillId="0" borderId="25" xfId="0" applyNumberFormat="1" applyFont="1" applyBorder="1" applyAlignment="1">
      <alignment/>
    </xf>
    <xf numFmtId="3" fontId="32" fillId="0" borderId="22" xfId="0" applyNumberFormat="1" applyFont="1" applyFill="1" applyBorder="1" applyAlignment="1">
      <alignment/>
    </xf>
    <xf numFmtId="4" fontId="33" fillId="0" borderId="35" xfId="0" applyNumberFormat="1" applyFont="1" applyBorder="1" applyAlignment="1">
      <alignment/>
    </xf>
    <xf numFmtId="10" fontId="33" fillId="0" borderId="35" xfId="0" applyNumberFormat="1" applyFont="1" applyBorder="1" applyAlignment="1">
      <alignment/>
    </xf>
    <xf numFmtId="4" fontId="33" fillId="0" borderId="36" xfId="0" applyNumberFormat="1" applyFont="1" applyBorder="1" applyAlignment="1">
      <alignment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21" fillId="0" borderId="41" xfId="0" applyFont="1" applyBorder="1" applyAlignment="1">
      <alignment/>
    </xf>
    <xf numFmtId="0" fontId="32" fillId="0" borderId="42" xfId="0" applyFont="1" applyBorder="1" applyAlignment="1">
      <alignment/>
    </xf>
    <xf numFmtId="4" fontId="33" fillId="0" borderId="43" xfId="0" applyNumberFormat="1" applyFont="1" applyBorder="1" applyAlignment="1">
      <alignment/>
    </xf>
    <xf numFmtId="4" fontId="33" fillId="0" borderId="44" xfId="0" applyNumberFormat="1" applyFont="1" applyBorder="1" applyAlignment="1">
      <alignment/>
    </xf>
    <xf numFmtId="0" fontId="20" fillId="0" borderId="45" xfId="0" applyFont="1" applyBorder="1" applyAlignment="1">
      <alignment/>
    </xf>
    <xf numFmtId="9" fontId="21" fillId="0" borderId="46" xfId="19" applyFont="1" applyBorder="1" applyAlignment="1">
      <alignment/>
    </xf>
    <xf numFmtId="9" fontId="21" fillId="0" borderId="47" xfId="19" applyFont="1" applyBorder="1" applyAlignment="1">
      <alignment/>
    </xf>
    <xf numFmtId="3" fontId="15" fillId="0" borderId="48" xfId="0" applyNumberFormat="1" applyFont="1" applyBorder="1" applyAlignment="1">
      <alignment/>
    </xf>
    <xf numFmtId="4" fontId="33" fillId="0" borderId="49" xfId="0" applyNumberFormat="1" applyFont="1" applyBorder="1" applyAlignment="1">
      <alignment/>
    </xf>
    <xf numFmtId="4" fontId="33" fillId="0" borderId="48" xfId="0" applyNumberFormat="1" applyFont="1" applyBorder="1" applyAlignment="1">
      <alignment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/>
    </xf>
    <xf numFmtId="0" fontId="15" fillId="0" borderId="53" xfId="0" applyFont="1" applyBorder="1" applyAlignment="1">
      <alignment/>
    </xf>
    <xf numFmtId="17" fontId="41" fillId="0" borderId="0" xfId="0" applyNumberFormat="1" applyFont="1" applyFill="1" applyAlignment="1">
      <alignment horizontal="center"/>
    </xf>
    <xf numFmtId="17" fontId="42" fillId="0" borderId="0" xfId="0" applyNumberFormat="1" applyFont="1" applyAlignment="1">
      <alignment/>
    </xf>
    <xf numFmtId="0" fontId="15" fillId="0" borderId="54" xfId="0" applyFont="1" applyBorder="1" applyAlignment="1">
      <alignment horizontal="center"/>
    </xf>
    <xf numFmtId="17" fontId="41" fillId="0" borderId="0" xfId="0" applyNumberFormat="1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32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15" fillId="8" borderId="55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5" fillId="8" borderId="56" xfId="0" applyFont="1" applyFill="1" applyBorder="1" applyAlignment="1">
      <alignment horizontal="center"/>
    </xf>
    <xf numFmtId="0" fontId="15" fillId="8" borderId="57" xfId="0" applyFont="1" applyFill="1" applyBorder="1" applyAlignment="1">
      <alignment horizontal="center"/>
    </xf>
    <xf numFmtId="0" fontId="22" fillId="9" borderId="0" xfId="0" applyFont="1" applyFill="1" applyAlignment="1">
      <alignment horizontal="center"/>
    </xf>
    <xf numFmtId="4" fontId="33" fillId="0" borderId="58" xfId="0" applyNumberFormat="1" applyFont="1" applyBorder="1" applyAlignment="1">
      <alignment/>
    </xf>
    <xf numFmtId="4" fontId="33" fillId="0" borderId="59" xfId="0" applyNumberFormat="1" applyFont="1" applyBorder="1" applyAlignment="1">
      <alignment/>
    </xf>
    <xf numFmtId="4" fontId="33" fillId="0" borderId="60" xfId="0" applyNumberFormat="1" applyFont="1" applyBorder="1" applyAlignment="1">
      <alignment/>
    </xf>
    <xf numFmtId="10" fontId="21" fillId="0" borderId="30" xfId="19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10" fontId="21" fillId="0" borderId="61" xfId="19" applyNumberFormat="1" applyFont="1" applyBorder="1" applyAlignment="1">
      <alignment/>
    </xf>
    <xf numFmtId="9" fontId="21" fillId="0" borderId="62" xfId="19" applyFont="1" applyBorder="1" applyAlignment="1">
      <alignment/>
    </xf>
    <xf numFmtId="10" fontId="21" fillId="0" borderId="46" xfId="19" applyNumberFormat="1" applyFont="1" applyBorder="1" applyAlignment="1">
      <alignment/>
    </xf>
    <xf numFmtId="10" fontId="21" fillId="0" borderId="63" xfId="19" applyNumberFormat="1" applyFont="1" applyBorder="1" applyAlignment="1">
      <alignment/>
    </xf>
    <xf numFmtId="10" fontId="21" fillId="0" borderId="64" xfId="19" applyNumberFormat="1" applyFont="1" applyBorder="1" applyAlignment="1">
      <alignment/>
    </xf>
    <xf numFmtId="0" fontId="15" fillId="0" borderId="0" xfId="0" applyFont="1" applyAlignment="1">
      <alignment horizontal="right"/>
    </xf>
    <xf numFmtId="10" fontId="21" fillId="0" borderId="31" xfId="19" applyNumberFormat="1" applyFont="1" applyBorder="1" applyAlignment="1">
      <alignment/>
    </xf>
    <xf numFmtId="9" fontId="21" fillId="0" borderId="61" xfId="19" applyNumberFormat="1" applyFont="1" applyBorder="1" applyAlignment="1">
      <alignment/>
    </xf>
    <xf numFmtId="10" fontId="21" fillId="0" borderId="34" xfId="19" applyNumberFormat="1" applyFont="1" applyBorder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10" fontId="21" fillId="0" borderId="65" xfId="19" applyNumberFormat="1" applyFont="1" applyBorder="1" applyAlignment="1">
      <alignment/>
    </xf>
    <xf numFmtId="17" fontId="57" fillId="0" borderId="0" xfId="0" applyNumberFormat="1" applyFont="1" applyFill="1" applyAlignment="1">
      <alignment horizontal="center"/>
    </xf>
    <xf numFmtId="0" fontId="22" fillId="10" borderId="0" xfId="0" applyFont="1" applyFill="1" applyAlignment="1">
      <alignment horizontal="center"/>
    </xf>
    <xf numFmtId="0" fontId="20" fillId="11" borderId="66" xfId="0" applyFont="1" applyFill="1" applyBorder="1" applyAlignment="1">
      <alignment/>
    </xf>
    <xf numFmtId="4" fontId="33" fillId="0" borderId="67" xfId="0" applyNumberFormat="1" applyFont="1" applyBorder="1" applyAlignment="1">
      <alignment/>
    </xf>
    <xf numFmtId="0" fontId="15" fillId="11" borderId="68" xfId="0" applyFont="1" applyFill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57" fillId="0" borderId="0" xfId="0" applyFont="1" applyFill="1" applyAlignment="1">
      <alignment horizontal="center" wrapText="1"/>
    </xf>
    <xf numFmtId="0" fontId="58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wrapText="1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45" fillId="0" borderId="0" xfId="0" applyFont="1" applyFill="1" applyAlignment="1">
      <alignment horizontal="center" wrapText="1"/>
    </xf>
    <xf numFmtId="0" fontId="15" fillId="0" borderId="69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44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58" fillId="0" borderId="0" xfId="0" applyFont="1" applyAlignment="1">
      <alignment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11" borderId="71" xfId="0" applyFont="1" applyFill="1" applyBorder="1" applyAlignment="1">
      <alignment horizontal="center"/>
    </xf>
    <xf numFmtId="0" fontId="15" fillId="11" borderId="7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4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C"/>
                </a:gs>
                <a:gs pos="50000">
                  <a:srgbClr val="000080"/>
                </a:gs>
                <a:gs pos="100000">
                  <a:srgbClr val="00003C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INT!$A$47:$A$53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INT!$B$46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208181"/>
                </a:gs>
                <a:gs pos="50000">
                  <a:srgbClr val="33CCCC"/>
                </a:gs>
                <a:gs pos="100000">
                  <a:srgbClr val="208181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INT!$B$47:$B$53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0445284"/>
        <c:axId val="26898693"/>
      </c:barChart>
      <c:catAx>
        <c:axId val="1044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26898693"/>
        <c:crosses val="autoZero"/>
        <c:auto val="1"/>
        <c:lblOffset val="100"/>
        <c:noMultiLvlLbl val="0"/>
      </c:catAx>
      <c:valAx>
        <c:axId val="26898693"/>
        <c:scaling>
          <c:orientation val="minMax"/>
          <c:max val="13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/>
            </a:pPr>
          </a:p>
        </c:txPr>
        <c:crossAx val="1044528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5"/>
          <c:y val="0.9365"/>
          <c:w val="0.45175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0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64"/>
          <c:w val="0.983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'CULT.'!$A$52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'CULT.'!$C$53:$C$59</c:f>
              <c:strCache/>
            </c:strRef>
          </c:cat>
          <c:val>
            <c:numRef>
              <c:f>'CULT.'!$A$53:$A$59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'CULT.'!$B$52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'CULT.'!$C$53:$C$59</c:f>
              <c:strCache/>
            </c:strRef>
          </c:cat>
          <c:val>
            <c:numRef>
              <c:f>'CULT.'!$B$53:$B$59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7375742"/>
        <c:axId val="46619631"/>
      </c:barChart>
      <c:catAx>
        <c:axId val="5737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46619631"/>
        <c:crosses val="autoZero"/>
        <c:auto val="1"/>
        <c:lblOffset val="100"/>
        <c:noMultiLvlLbl val="0"/>
      </c:catAx>
      <c:valAx>
        <c:axId val="46619631"/>
        <c:scaling>
          <c:orientation val="minMax"/>
          <c:max val="2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1" i="0" u="none" baseline="0"/>
            </a:pPr>
          </a:p>
        </c:txPr>
        <c:crossAx val="57375742"/>
        <c:crossesAt val="1"/>
        <c:crossBetween val="between"/>
        <c:dispUnits/>
        <c:majorUnit val="2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"/>
          <c:y val="0.94125"/>
          <c:w val="0.47325"/>
          <c:h val="0.0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922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'DEP.'!$A$46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'DEP.'!$C$47:$C$53</c:f>
              <c:strCache/>
            </c:strRef>
          </c:cat>
          <c:val>
            <c:numRef>
              <c:f>'DEP.'!$A$47:$A$53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'DEP.'!$B$46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'DEP.'!$C$47:$C$53</c:f>
              <c:strCache/>
            </c:strRef>
          </c:cat>
          <c:val>
            <c:numRef>
              <c:f>'DEP.'!$B$47:$B$53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6923496"/>
        <c:axId val="18093737"/>
      </c:barChart>
      <c:catAx>
        <c:axId val="1692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18093737"/>
        <c:crosses val="autoZero"/>
        <c:auto val="1"/>
        <c:lblOffset val="100"/>
        <c:noMultiLvlLbl val="0"/>
      </c:catAx>
      <c:valAx>
        <c:axId val="18093737"/>
        <c:scaling>
          <c:orientation val="minMax"/>
          <c:max val="125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/>
            </a:pPr>
          </a:p>
        </c:txPr>
        <c:crossAx val="16923496"/>
        <c:crossesAt val="1"/>
        <c:crossBetween val="between"/>
        <c:dispUnits/>
        <c:majorUnit val="1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45"/>
          <c:y val="0.9425"/>
          <c:w val="0.48875"/>
          <c:h val="0.046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/>
              <a:t>Gasto por Área y Saldo de Crédito Presupuestario</a:t>
            </a:r>
          </a:p>
        </c:rich>
      </c:tx>
      <c:layout>
        <c:manualLayout>
          <c:xMode val="factor"/>
          <c:yMode val="factor"/>
          <c:x val="0.001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425"/>
          <c:w val="1"/>
          <c:h val="0.853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TOTAL!$E$61:$E$71</c:f>
              <c:numCache/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TOTAL!$F$61:$F$71</c:f>
              <c:numCache/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TOTAL!$G$61:$G$71</c:f>
              <c:numCache/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TOTAL!$H$61:$H$71</c:f>
              <c:numCache/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TOTAL!$I$61:$I$71</c:f>
              <c:numCache/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TOTAL!$J$61:$J$71</c:f>
              <c:numCache/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TOTAL!$K$61:$K$71</c:f>
              <c:numCache/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TOTAL!$L$61:$L$71</c:f>
              <c:numCache/>
            </c:numRef>
          </c:val>
          <c:shape val="cylinder"/>
        </c:ser>
        <c:overlap val="100"/>
        <c:shape val="cylinder"/>
        <c:axId val="28625906"/>
        <c:axId val="56306563"/>
      </c:bar3DChart>
      <c:catAx>
        <c:axId val="28625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/>
            </a:pPr>
          </a:p>
        </c:txPr>
        <c:crossAx val="56306563"/>
        <c:crosses val="autoZero"/>
        <c:auto val="1"/>
        <c:lblOffset val="100"/>
        <c:noMultiLvlLbl val="0"/>
      </c:catAx>
      <c:valAx>
        <c:axId val="56306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862590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75"/>
          <c:w val="0.986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GOB!$A$50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GOB!$C$51:$C$57</c:f>
              <c:strCache/>
            </c:strRef>
          </c:cat>
          <c:val>
            <c:numRef>
              <c:f>GOB!$A$51:$A$57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GOB!$B$50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GOB!$C$51:$C$57</c:f>
              <c:strCache/>
            </c:strRef>
          </c:cat>
          <c:val>
            <c:numRef>
              <c:f>GOB!$B$51:$B$57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0761646"/>
        <c:axId val="31310495"/>
      </c:barChart>
      <c:catAx>
        <c:axId val="4076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31310495"/>
        <c:crosses val="autoZero"/>
        <c:auto val="1"/>
        <c:lblOffset val="100"/>
        <c:noMultiLvlLbl val="0"/>
      </c:catAx>
      <c:valAx>
        <c:axId val="31310495"/>
        <c:scaling>
          <c:orientation val="minMax"/>
          <c:max val="35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0" u="none" baseline="0"/>
            </a:pPr>
          </a:p>
        </c:txPr>
        <c:crossAx val="4076164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5"/>
          <c:y val="0.94"/>
          <c:w val="0.427"/>
          <c:h val="0.05175"/>
        </c:manualLayout>
      </c:layout>
      <c:overlay val="0"/>
      <c:txPr>
        <a:bodyPr vert="horz" rot="0"/>
        <a:lstStyle/>
        <a:p>
          <a:pPr>
            <a:defRPr lang="en-US" cap="none" sz="9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75"/>
          <c:w val="0.994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SEH!$A$48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SEH!$A$49:$A$55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SEH!$B$48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SEH!$B$49:$B$55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359000"/>
        <c:axId val="53122137"/>
      </c:barChart>
      <c:catAx>
        <c:axId val="1335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53122137"/>
        <c:crosses val="autoZero"/>
        <c:auto val="1"/>
        <c:lblOffset val="100"/>
        <c:noMultiLvlLbl val="0"/>
      </c:catAx>
      <c:valAx>
        <c:axId val="53122137"/>
        <c:scaling>
          <c:orientation val="minMax"/>
          <c:max val="355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1" i="0" u="none" baseline="0"/>
            </a:pPr>
          </a:p>
        </c:txPr>
        <c:crossAx val="13359000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5F5F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2"/>
          <c:y val="0.94275"/>
          <c:w val="0.43825"/>
          <c:h val="0.051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97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SAS!$A$48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SAS!$C$49:$C$55</c:f>
              <c:strCache/>
            </c:strRef>
          </c:cat>
          <c:val>
            <c:numRef>
              <c:f>SAS!$A$49:$A$55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SAS!$B$48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SAS!$C$49:$C$55</c:f>
              <c:strCache/>
            </c:strRef>
          </c:cat>
          <c:val>
            <c:numRef>
              <c:f>SAS!$B$49:$B$55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8337186"/>
        <c:axId val="7925811"/>
      </c:barChart>
      <c:catAx>
        <c:axId val="8337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7925811"/>
        <c:crosses val="autoZero"/>
        <c:auto val="1"/>
        <c:lblOffset val="100"/>
        <c:noMultiLvlLbl val="0"/>
      </c:catAx>
      <c:valAx>
        <c:axId val="7925811"/>
        <c:scaling>
          <c:orientation val="minMax"/>
          <c:max val="62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/>
            </a:pPr>
          </a:p>
        </c:txPr>
        <c:crossAx val="8337186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75"/>
          <c:y val="0.94025"/>
          <c:w val="0.479"/>
          <c:h val="0.048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5"/>
          <c:w val="0.998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SOP!$A$50:$A$56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SOP!$B$49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SOP!$B$50:$B$56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axId val="4223436"/>
        <c:axId val="38010925"/>
      </c:barChart>
      <c:catAx>
        <c:axId val="422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38010925"/>
        <c:crosses val="autoZero"/>
        <c:auto val="1"/>
        <c:lblOffset val="100"/>
        <c:noMultiLvlLbl val="0"/>
      </c:catAx>
      <c:valAx>
        <c:axId val="38010925"/>
        <c:scaling>
          <c:orientation val="minMax"/>
          <c:max val="105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/>
            </a:pPr>
          </a:p>
        </c:txPr>
        <c:crossAx val="4223436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5"/>
          <c:y val="0.941"/>
          <c:w val="0.4985"/>
          <c:h val="0.047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0.995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SFOI!$A$45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3B"/>
                  </a:gs>
                  <a:gs pos="50000">
                    <a:srgbClr val="000080"/>
                  </a:gs>
                  <a:gs pos="100000">
                    <a:srgbClr val="00003B"/>
                  </a:gs>
                </a:gsLst>
                <a:lin ang="0" scaled="1"/>
              </a:gradFill>
            </c:spPr>
          </c:dPt>
          <c:cat>
            <c:strRef>
              <c:f>SFOI!$C$46:$C$52</c:f>
              <c:strCache/>
            </c:strRef>
          </c:cat>
          <c:val>
            <c:numRef>
              <c:f>SFOI!$A$46:$A$52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SFOI!$B$45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SFOI!$C$46:$C$52</c:f>
              <c:strCache/>
            </c:strRef>
          </c:cat>
          <c:val>
            <c:numRef>
              <c:f>SFOI!$B$46:$B$52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554006"/>
        <c:axId val="58986055"/>
      </c:barChart>
      <c:catAx>
        <c:axId val="6554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58986055"/>
        <c:crosses val="autoZero"/>
        <c:auto val="1"/>
        <c:lblOffset val="100"/>
        <c:noMultiLvlLbl val="0"/>
      </c:catAx>
      <c:valAx>
        <c:axId val="58986055"/>
        <c:scaling>
          <c:orientation val="minMax"/>
          <c:max val="66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1" i="0" u="none" baseline="0"/>
            </a:pPr>
          </a:p>
        </c:txPr>
        <c:crossAx val="6554006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375"/>
          <c:y val="0.9405"/>
          <c:w val="0.40175"/>
          <c:h val="0.048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0.9862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'CD'!$A$45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'CD'!$A$46:$A$52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'CD'!$B$45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'CD'!$B$46:$B$52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1112448"/>
        <c:axId val="13141121"/>
      </c:barChart>
      <c:cat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/>
            </a:pPr>
          </a:p>
        </c:txPr>
        <c:crossAx val="13141121"/>
        <c:crosses val="autoZero"/>
        <c:auto val="1"/>
        <c:lblOffset val="100"/>
        <c:noMultiLvlLbl val="0"/>
      </c:catAx>
      <c:valAx>
        <c:axId val="13141121"/>
        <c:scaling>
          <c:orientation val="minMax"/>
          <c:max val="85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/>
            </a:pPr>
          </a:p>
        </c:txPr>
        <c:crossAx val="61112448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3525"/>
          <c:w val="0.5"/>
          <c:h val="0.056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6"/>
          <c:w val="0.976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'CM'!$A$48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'CM'!$A$49:$A$53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'CM'!$B$48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'CM'!$B$49:$B$53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1161226"/>
        <c:axId val="57797851"/>
      </c:barChart>
      <c:catAx>
        <c:axId val="5116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57797851"/>
        <c:crosses val="autoZero"/>
        <c:auto val="1"/>
        <c:lblOffset val="100"/>
        <c:noMultiLvlLbl val="0"/>
      </c:catAx>
      <c:valAx>
        <c:axId val="57797851"/>
        <c:scaling>
          <c:orientation val="minMax"/>
          <c:max val="27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0" u="none" baseline="0"/>
            </a:pPr>
          </a:p>
        </c:txPr>
        <c:crossAx val="51161226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335"/>
          <c:w val="0.61325"/>
          <c:h val="0.055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93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SSP!$A$50:$A$56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SSP!$B$49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SSP!$B$50:$B$56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0418612"/>
        <c:axId val="51114325"/>
      </c:barChart>
      <c:catAx>
        <c:axId val="504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51114325"/>
        <c:crosses val="autoZero"/>
        <c:auto val="1"/>
        <c:lblOffset val="100"/>
        <c:noMultiLvlLbl val="0"/>
      </c:catAx>
      <c:valAx>
        <c:axId val="51114325"/>
        <c:scaling>
          <c:orientation val="minMax"/>
          <c:max val="125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/>
            </a:pPr>
          </a:p>
        </c:txPr>
        <c:crossAx val="50418612"/>
        <c:crossesAt val="1"/>
        <c:crossBetween val="between"/>
        <c:dispUnits/>
        <c:majorUnit val="1000000"/>
        <c:minorUnit val="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925"/>
          <c:y val="0.93425"/>
          <c:w val="0.51025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14</xdr:row>
      <xdr:rowOff>180975</xdr:rowOff>
    </xdr:from>
    <xdr:to>
      <xdr:col>12</xdr:col>
      <xdr:colOff>571500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419225" y="3276600"/>
        <a:ext cx="70866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57150</xdr:rowOff>
    </xdr:from>
    <xdr:to>
      <xdr:col>13</xdr:col>
      <xdr:colOff>409575</xdr:colOff>
      <xdr:row>35</xdr:row>
      <xdr:rowOff>180975</xdr:rowOff>
    </xdr:to>
    <xdr:graphicFrame>
      <xdr:nvGraphicFramePr>
        <xdr:cNvPr id="1" name="Chart 1"/>
        <xdr:cNvGraphicFramePr/>
      </xdr:nvGraphicFramePr>
      <xdr:xfrm>
        <a:off x="1943100" y="4210050"/>
        <a:ext cx="70104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19050</xdr:rowOff>
    </xdr:from>
    <xdr:to>
      <xdr:col>13</xdr:col>
      <xdr:colOff>409575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181225" y="3067050"/>
        <a:ext cx="67913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9</xdr:col>
      <xdr:colOff>276225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314325" y="3876675"/>
        <a:ext cx="78105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104775</xdr:rowOff>
    </xdr:from>
    <xdr:to>
      <xdr:col>13</xdr:col>
      <xdr:colOff>276225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295400" y="3905250"/>
        <a:ext cx="78486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16</xdr:row>
      <xdr:rowOff>161925</xdr:rowOff>
    </xdr:from>
    <xdr:to>
      <xdr:col>13</xdr:col>
      <xdr:colOff>9525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1257300" y="3619500"/>
        <a:ext cx="71913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16</xdr:row>
      <xdr:rowOff>142875</xdr:rowOff>
    </xdr:from>
    <xdr:to>
      <xdr:col>12</xdr:col>
      <xdr:colOff>371475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628775" y="3429000"/>
        <a:ext cx="69246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14</xdr:row>
      <xdr:rowOff>104775</xdr:rowOff>
    </xdr:from>
    <xdr:to>
      <xdr:col>12</xdr:col>
      <xdr:colOff>581025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438275" y="3057525"/>
        <a:ext cx="69437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0</xdr:rowOff>
    </xdr:from>
    <xdr:to>
      <xdr:col>12</xdr:col>
      <xdr:colOff>504825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619250" y="3352800"/>
        <a:ext cx="71056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13</xdr:col>
      <xdr:colOff>276225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33575" y="3133725"/>
        <a:ext cx="64293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12</xdr:col>
      <xdr:colOff>28575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1247775" y="3200400"/>
        <a:ext cx="57245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15</xdr:row>
      <xdr:rowOff>19050</xdr:rowOff>
    </xdr:from>
    <xdr:to>
      <xdr:col>12</xdr:col>
      <xdr:colOff>542925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66875" y="3152775"/>
        <a:ext cx="6972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I1">
      <selection activeCell="J9" sqref="J9"/>
    </sheetView>
  </sheetViews>
  <sheetFormatPr defaultColWidth="11.421875" defaultRowHeight="15"/>
  <cols>
    <col min="1" max="1" width="16.421875" style="1" customWidth="1"/>
    <col min="2" max="2" width="9.140625" style="1" customWidth="1"/>
    <col min="3" max="3" width="12.421875" style="1" customWidth="1"/>
    <col min="4" max="4" width="7.7109375" style="1" customWidth="1"/>
    <col min="5" max="5" width="10.140625" style="1" customWidth="1"/>
    <col min="6" max="6" width="9.421875" style="1" customWidth="1"/>
    <col min="7" max="7" width="10.7109375" style="1" customWidth="1"/>
    <col min="8" max="8" width="7.7109375" style="1" customWidth="1"/>
    <col min="9" max="9" width="11.8515625" style="1" customWidth="1"/>
    <col min="10" max="10" width="7.421875" style="1" customWidth="1"/>
    <col min="11" max="11" width="9.421875" style="1" customWidth="1"/>
    <col min="12" max="12" width="6.57421875" style="1" customWidth="1"/>
    <col min="13" max="13" width="10.00390625" style="1" customWidth="1"/>
    <col min="14" max="14" width="9.28125" style="1" customWidth="1"/>
    <col min="15" max="15" width="10.28125" style="1" customWidth="1"/>
    <col min="16" max="16" width="11.8515625" style="1" customWidth="1"/>
    <col min="17" max="17" width="10.57421875" style="1" customWidth="1"/>
    <col min="18" max="18" width="13.8515625" style="1" bestFit="1" customWidth="1"/>
    <col min="19" max="16384" width="11.421875" style="1" customWidth="1"/>
  </cols>
  <sheetData>
    <row r="2" spans="1:15" ht="18">
      <c r="A2" s="150" t="s">
        <v>0</v>
      </c>
      <c r="B2" s="163" t="s">
        <v>105</v>
      </c>
      <c r="C2" s="163"/>
      <c r="D2" s="164"/>
      <c r="E2" s="164"/>
      <c r="L2" s="162" t="s">
        <v>24</v>
      </c>
      <c r="M2" s="162"/>
      <c r="N2" s="157">
        <v>40422</v>
      </c>
      <c r="O2" s="23"/>
    </row>
    <row r="3" spans="2:5" ht="16.5">
      <c r="B3" s="165"/>
      <c r="C3" s="165"/>
      <c r="E3" s="22"/>
    </row>
    <row r="4" spans="3:5" ht="17.25" thickBot="1">
      <c r="C4" s="24"/>
      <c r="D4" s="24"/>
      <c r="E4" s="22"/>
    </row>
    <row r="5" spans="1:17" ht="18" thickTop="1">
      <c r="A5" s="104"/>
      <c r="B5" s="166" t="s">
        <v>1</v>
      </c>
      <c r="C5" s="167"/>
      <c r="D5" s="166" t="s">
        <v>2</v>
      </c>
      <c r="E5" s="167"/>
      <c r="F5" s="166" t="s">
        <v>3</v>
      </c>
      <c r="G5" s="167"/>
      <c r="H5" s="166" t="s">
        <v>4</v>
      </c>
      <c r="I5" s="167"/>
      <c r="J5" s="166" t="s">
        <v>33</v>
      </c>
      <c r="K5" s="167"/>
      <c r="L5" s="105" t="s">
        <v>88</v>
      </c>
      <c r="M5" s="106"/>
      <c r="N5" s="166" t="s">
        <v>34</v>
      </c>
      <c r="O5" s="167"/>
      <c r="P5" s="107" t="s">
        <v>5</v>
      </c>
      <c r="Q5" s="118" t="s">
        <v>39</v>
      </c>
    </row>
    <row r="6" spans="1:17" ht="17.25">
      <c r="A6" s="108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4" t="s">
        <v>26</v>
      </c>
      <c r="Q6" s="119" t="s">
        <v>40</v>
      </c>
    </row>
    <row r="7" spans="1:18" ht="17.25">
      <c r="A7" s="109" t="s">
        <v>15</v>
      </c>
      <c r="B7" s="32">
        <v>475111</v>
      </c>
      <c r="C7" s="33">
        <f>17515.27+217249.09+2843.78+31817.03+4890.35+55093.23</f>
        <v>329408.74999999994</v>
      </c>
      <c r="D7" s="32">
        <f>53000-5000</f>
        <v>48000</v>
      </c>
      <c r="E7" s="33">
        <f>648.45+18740.79</f>
        <v>19389.24</v>
      </c>
      <c r="F7" s="32">
        <f>416564+270000</f>
        <v>686564</v>
      </c>
      <c r="G7" s="33">
        <f>40100.06+560362.69</f>
        <v>600462.75</v>
      </c>
      <c r="H7" s="32">
        <f>531166-80000</f>
        <v>451166</v>
      </c>
      <c r="I7" s="33">
        <f>52432.96+558175.96</f>
        <v>610608.9199999999</v>
      </c>
      <c r="J7" s="32">
        <v>0</v>
      </c>
      <c r="K7" s="33">
        <f>6442+51113.31</f>
        <v>57555.31</v>
      </c>
      <c r="L7" s="32">
        <v>0</v>
      </c>
      <c r="M7" s="33">
        <v>1819.46</v>
      </c>
      <c r="N7" s="32">
        <v>150000</v>
      </c>
      <c r="O7" s="33">
        <v>107369.83</v>
      </c>
      <c r="P7" s="110">
        <f>+O7+K7+I7+G7+E7+C7+M7</f>
        <v>1726614.26</v>
      </c>
      <c r="Q7" s="140">
        <f>+B7+D7+F7+H7+J7+N7+L7-P7</f>
        <v>84226.73999999999</v>
      </c>
      <c r="R7" s="5"/>
    </row>
    <row r="8" spans="1:17" ht="17.25">
      <c r="A8" s="109"/>
      <c r="B8" s="35"/>
      <c r="C8" s="36"/>
      <c r="D8" s="35"/>
      <c r="E8" s="33"/>
      <c r="F8" s="35"/>
      <c r="G8" s="33"/>
      <c r="H8" s="35"/>
      <c r="I8" s="33"/>
      <c r="J8" s="35"/>
      <c r="K8" s="33"/>
      <c r="L8" s="37"/>
      <c r="M8" s="33"/>
      <c r="N8" s="35"/>
      <c r="O8" s="33"/>
      <c r="P8" s="110"/>
      <c r="Q8" s="141"/>
    </row>
    <row r="9" spans="1:17" ht="17.25">
      <c r="A9" s="109" t="s">
        <v>101</v>
      </c>
      <c r="B9" s="32">
        <v>124269</v>
      </c>
      <c r="C9" s="33">
        <f>8331.86+96687.02</f>
        <v>105018.88</v>
      </c>
      <c r="D9" s="32">
        <v>24300</v>
      </c>
      <c r="E9" s="33">
        <f>9192.39+5073.1</f>
        <v>14265.49</v>
      </c>
      <c r="F9" s="32">
        <v>62400</v>
      </c>
      <c r="G9" s="33">
        <f>3440.97+12052.26</f>
        <v>15493.23</v>
      </c>
      <c r="H9" s="32">
        <v>194785</v>
      </c>
      <c r="I9" s="33">
        <f>7553.27+176143.55</f>
        <v>183696.81999999998</v>
      </c>
      <c r="J9" s="32">
        <v>200000</v>
      </c>
      <c r="K9" s="33">
        <v>21889.01</v>
      </c>
      <c r="L9" s="32">
        <v>0</v>
      </c>
      <c r="M9" s="33">
        <v>0</v>
      </c>
      <c r="N9" s="35">
        <v>0</v>
      </c>
      <c r="O9" s="33">
        <v>11180.33</v>
      </c>
      <c r="P9" s="110">
        <f>+O9+K9+I9+G9+E9+C9</f>
        <v>351543.76</v>
      </c>
      <c r="Q9" s="141">
        <f>+B9+D9+F9+H9+J9+N9-P9</f>
        <v>254210.24</v>
      </c>
    </row>
    <row r="10" spans="1:17" ht="17.25">
      <c r="A10" s="109"/>
      <c r="B10" s="35"/>
      <c r="C10" s="33"/>
      <c r="D10" s="35"/>
      <c r="E10" s="33"/>
      <c r="F10" s="35"/>
      <c r="G10" s="33"/>
      <c r="H10" s="35"/>
      <c r="I10" s="33"/>
      <c r="J10" s="35"/>
      <c r="K10" s="33"/>
      <c r="L10" s="37"/>
      <c r="M10" s="37"/>
      <c r="N10" s="35"/>
      <c r="O10" s="33"/>
      <c r="P10" s="110"/>
      <c r="Q10" s="141"/>
    </row>
    <row r="11" spans="1:17" ht="17.25">
      <c r="A11" s="109" t="s">
        <v>100</v>
      </c>
      <c r="B11" s="32">
        <v>679098</v>
      </c>
      <c r="C11" s="33">
        <f>55108.95+555758.8</f>
        <v>610867.75</v>
      </c>
      <c r="D11" s="32">
        <f>15510+100000</f>
        <v>115510</v>
      </c>
      <c r="E11" s="33">
        <f>2712.26+15098.92</f>
        <v>17811.18</v>
      </c>
      <c r="F11" s="32">
        <f>198985+100000</f>
        <v>298985</v>
      </c>
      <c r="G11" s="33">
        <f>27601.88+255256.77</f>
        <v>282858.64999999997</v>
      </c>
      <c r="H11" s="32">
        <v>89447</v>
      </c>
      <c r="I11" s="33">
        <f>9300+226229.19</f>
        <v>235529.19</v>
      </c>
      <c r="J11" s="32">
        <v>0</v>
      </c>
      <c r="K11" s="33">
        <v>2164.18</v>
      </c>
      <c r="L11" s="32">
        <v>0</v>
      </c>
      <c r="M11" s="37">
        <v>10400</v>
      </c>
      <c r="N11" s="32">
        <v>0</v>
      </c>
      <c r="O11" s="33">
        <v>28407.23</v>
      </c>
      <c r="P11" s="110">
        <f>+O11+K11+I11+G11+E11+C11+M11</f>
        <v>1188038.1800000002</v>
      </c>
      <c r="Q11" s="141">
        <f>+B11+D11+F11+H11+J11+N11-P11+L11</f>
        <v>-4998.180000000168</v>
      </c>
    </row>
    <row r="12" spans="1:18" ht="18" thickBot="1">
      <c r="A12" s="120" t="s">
        <v>11</v>
      </c>
      <c r="B12" s="115">
        <f aca="true" t="shared" si="0" ref="B12:K12">SUM(B7:B11)</f>
        <v>1278478</v>
      </c>
      <c r="C12" s="116">
        <f>SUM(C7:C11)</f>
        <v>1045295.3799999999</v>
      </c>
      <c r="D12" s="115">
        <f t="shared" si="0"/>
        <v>187810</v>
      </c>
      <c r="E12" s="116">
        <f t="shared" si="0"/>
        <v>51465.91</v>
      </c>
      <c r="F12" s="115">
        <f t="shared" si="0"/>
        <v>1047949</v>
      </c>
      <c r="G12" s="116">
        <f t="shared" si="0"/>
        <v>898814.6299999999</v>
      </c>
      <c r="H12" s="115">
        <f t="shared" si="0"/>
        <v>735398</v>
      </c>
      <c r="I12" s="116">
        <f t="shared" si="0"/>
        <v>1029834.9299999999</v>
      </c>
      <c r="J12" s="115">
        <f t="shared" si="0"/>
        <v>200000</v>
      </c>
      <c r="K12" s="116">
        <f t="shared" si="0"/>
        <v>81608.49999999999</v>
      </c>
      <c r="L12" s="115">
        <f aca="true" t="shared" si="1" ref="L12:Q12">SUM(L7:L11)</f>
        <v>0</v>
      </c>
      <c r="M12" s="117">
        <f t="shared" si="1"/>
        <v>12219.46</v>
      </c>
      <c r="N12" s="115">
        <f t="shared" si="1"/>
        <v>150000</v>
      </c>
      <c r="O12" s="116">
        <f t="shared" si="1"/>
        <v>146957.39</v>
      </c>
      <c r="P12" s="111">
        <f t="shared" si="1"/>
        <v>3266196.2</v>
      </c>
      <c r="Q12" s="142">
        <f t="shared" si="1"/>
        <v>333438.7999999998</v>
      </c>
      <c r="R12" s="5"/>
    </row>
    <row r="13" spans="1:17" ht="18.75" thickBot="1" thickTop="1">
      <c r="A13" s="121" t="s">
        <v>31</v>
      </c>
      <c r="B13" s="112"/>
      <c r="C13" s="147">
        <f>+C12/B12</f>
        <v>0.8176092040692134</v>
      </c>
      <c r="D13" s="113"/>
      <c r="E13" s="147">
        <f>+E12/D12</f>
        <v>0.27403178744475803</v>
      </c>
      <c r="F13" s="113"/>
      <c r="G13" s="147">
        <f>+G12/F12</f>
        <v>0.8576892864061132</v>
      </c>
      <c r="H13" s="113"/>
      <c r="I13" s="147">
        <f>+I12/H12</f>
        <v>1.4003776594442736</v>
      </c>
      <c r="J13" s="113"/>
      <c r="K13" s="148">
        <f>+K12/J12</f>
        <v>0.4080424999999999</v>
      </c>
      <c r="L13" s="146"/>
      <c r="M13" s="148"/>
      <c r="N13" s="114"/>
      <c r="O13" s="149">
        <f>+O12/N12</f>
        <v>0.9797159333333334</v>
      </c>
      <c r="P13" s="48"/>
      <c r="Q13" s="5"/>
    </row>
    <row r="14" spans="1:17" ht="17.25" thickTop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"/>
    </row>
    <row r="15" ht="16.5">
      <c r="P15" s="5"/>
    </row>
    <row r="37" spans="1:6" ht="16.5">
      <c r="A37" s="53"/>
      <c r="B37" s="53"/>
      <c r="C37" s="53"/>
      <c r="D37" s="53"/>
      <c r="E37" s="53"/>
      <c r="F37" s="53"/>
    </row>
    <row r="39" spans="3:11" ht="16.5">
      <c r="C39" s="52"/>
      <c r="D39" s="5"/>
      <c r="E39" s="53"/>
      <c r="F39" s="53"/>
      <c r="K39" s="1" t="s">
        <v>86</v>
      </c>
    </row>
    <row r="40" spans="3:6" ht="16.5">
      <c r="C40" s="5"/>
      <c r="D40" s="5"/>
      <c r="E40" s="53"/>
      <c r="F40" s="53"/>
    </row>
    <row r="41" spans="3:6" ht="16.5">
      <c r="C41" s="5"/>
      <c r="D41" s="5"/>
      <c r="E41" s="53"/>
      <c r="F41" s="53"/>
    </row>
    <row r="42" spans="3:6" ht="16.5">
      <c r="C42" s="5"/>
      <c r="D42" s="5"/>
      <c r="E42" s="53"/>
      <c r="F42" s="53"/>
    </row>
    <row r="43" spans="3:6" ht="16.5">
      <c r="C43" s="5"/>
      <c r="D43" s="5"/>
      <c r="E43" s="53"/>
      <c r="F43" s="53"/>
    </row>
    <row r="44" spans="3:6" ht="16.5">
      <c r="C44" s="5"/>
      <c r="D44" s="5"/>
      <c r="E44" s="53"/>
      <c r="F44" s="53"/>
    </row>
    <row r="46" spans="1:3" ht="17.25">
      <c r="A46" s="21" t="s">
        <v>27</v>
      </c>
      <c r="B46" s="54" t="s">
        <v>28</v>
      </c>
      <c r="C46" s="21" t="s">
        <v>29</v>
      </c>
    </row>
    <row r="47" spans="1:3" ht="17.25">
      <c r="A47" s="55">
        <f>+B12</f>
        <v>1278478</v>
      </c>
      <c r="B47" s="52">
        <f>+C12</f>
        <v>1045295.3799999999</v>
      </c>
      <c r="C47" s="21" t="s">
        <v>1</v>
      </c>
    </row>
    <row r="48" spans="1:3" ht="17.25">
      <c r="A48" s="55">
        <f>+D12</f>
        <v>187810</v>
      </c>
      <c r="B48" s="52">
        <f>+E12</f>
        <v>51465.91</v>
      </c>
      <c r="C48" s="21" t="s">
        <v>2</v>
      </c>
    </row>
    <row r="49" spans="1:3" ht="17.25">
      <c r="A49" s="55">
        <f>+F12</f>
        <v>1047949</v>
      </c>
      <c r="B49" s="52">
        <f>+G12</f>
        <v>898814.6299999999</v>
      </c>
      <c r="C49" s="21" t="s">
        <v>3</v>
      </c>
    </row>
    <row r="50" spans="1:3" ht="17.25">
      <c r="A50" s="55">
        <f>+H12</f>
        <v>735398</v>
      </c>
      <c r="B50" s="52">
        <f>+I12</f>
        <v>1029834.9299999999</v>
      </c>
      <c r="C50" s="21" t="s">
        <v>35</v>
      </c>
    </row>
    <row r="51" spans="1:3" ht="17.25">
      <c r="A51" s="55">
        <f>+J12</f>
        <v>200000</v>
      </c>
      <c r="B51" s="52">
        <f>+K12</f>
        <v>81608.49999999999</v>
      </c>
      <c r="C51" s="21" t="s">
        <v>33</v>
      </c>
    </row>
    <row r="52" spans="1:3" ht="17.25">
      <c r="A52" s="55">
        <f>+L12</f>
        <v>0</v>
      </c>
      <c r="B52" s="52">
        <f>+M12</f>
        <v>12219.46</v>
      </c>
      <c r="C52" s="21" t="s">
        <v>97</v>
      </c>
    </row>
    <row r="53" spans="1:3" ht="17.25">
      <c r="A53" s="55">
        <f>+N12</f>
        <v>150000</v>
      </c>
      <c r="B53" s="52">
        <f>+O12</f>
        <v>146957.39</v>
      </c>
      <c r="C53" s="21" t="s">
        <v>36</v>
      </c>
    </row>
    <row r="55" spans="1:2" ht="16.5">
      <c r="A55" s="55"/>
      <c r="B55" s="52"/>
    </row>
  </sheetData>
  <mergeCells count="9">
    <mergeCell ref="L2:M2"/>
    <mergeCell ref="B2:E2"/>
    <mergeCell ref="B3:C3"/>
    <mergeCell ref="N5:O5"/>
    <mergeCell ref="J5:K5"/>
    <mergeCell ref="B5:C5"/>
    <mergeCell ref="D5:E5"/>
    <mergeCell ref="F5:G5"/>
    <mergeCell ref="H5:I5"/>
  </mergeCells>
  <printOptions/>
  <pageMargins left="0.85" right="0.59" top="0.7480314960629921" bottom="1" header="0.34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1"/>
  <sheetViews>
    <sheetView workbookViewId="0" topLeftCell="A5">
      <selection activeCell="P19" sqref="P19"/>
    </sheetView>
  </sheetViews>
  <sheetFormatPr defaultColWidth="11.421875" defaultRowHeight="15"/>
  <cols>
    <col min="1" max="1" width="19.57421875" style="1" customWidth="1"/>
    <col min="2" max="2" width="9.28125" style="1" customWidth="1"/>
    <col min="3" max="3" width="12.00390625" style="1" customWidth="1"/>
    <col min="4" max="4" width="7.140625" style="1" customWidth="1"/>
    <col min="5" max="5" width="9.7109375" style="1" customWidth="1"/>
    <col min="6" max="6" width="8.28125" style="1" customWidth="1"/>
    <col min="7" max="7" width="10.140625" style="1" customWidth="1"/>
    <col min="8" max="8" width="7.7109375" style="1" customWidth="1"/>
    <col min="9" max="9" width="10.8515625" style="1" customWidth="1"/>
    <col min="10" max="10" width="6.8515625" style="1" customWidth="1"/>
    <col min="11" max="11" width="9.7109375" style="1" customWidth="1"/>
    <col min="12" max="12" width="6.8515625" style="1" customWidth="1"/>
    <col min="13" max="13" width="10.00390625" style="1" customWidth="1"/>
    <col min="14" max="14" width="7.140625" style="1" customWidth="1"/>
    <col min="15" max="15" width="10.28125" style="1" customWidth="1"/>
    <col min="16" max="16" width="12.57421875" style="1" customWidth="1"/>
    <col min="17" max="17" width="10.7109375" style="1" customWidth="1"/>
    <col min="18" max="18" width="11.7109375" style="1" bestFit="1" customWidth="1"/>
    <col min="19" max="16384" width="11.421875" style="1" customWidth="1"/>
  </cols>
  <sheetData>
    <row r="2" spans="1:15" ht="18">
      <c r="A2" s="150" t="s">
        <v>0</v>
      </c>
      <c r="B2" s="163" t="s">
        <v>121</v>
      </c>
      <c r="C2" s="178"/>
      <c r="D2" s="178"/>
      <c r="E2" s="179"/>
      <c r="F2" s="179"/>
      <c r="K2" s="180" t="s">
        <v>24</v>
      </c>
      <c r="L2" s="180"/>
      <c r="M2" s="157">
        <v>40422</v>
      </c>
      <c r="O2" s="56"/>
    </row>
    <row r="3" spans="2:4" ht="16.5">
      <c r="B3" s="176"/>
      <c r="C3" s="177"/>
      <c r="D3" s="177"/>
    </row>
    <row r="4" ht="17.25" thickBot="1"/>
    <row r="5" spans="1:17" ht="17.25">
      <c r="A5" s="25"/>
      <c r="B5" s="170" t="s">
        <v>1</v>
      </c>
      <c r="C5" s="171"/>
      <c r="D5" s="170" t="s">
        <v>2</v>
      </c>
      <c r="E5" s="171"/>
      <c r="F5" s="170" t="s">
        <v>3</v>
      </c>
      <c r="G5" s="171"/>
      <c r="H5" s="170" t="s">
        <v>4</v>
      </c>
      <c r="I5" s="171"/>
      <c r="J5" s="170" t="s">
        <v>33</v>
      </c>
      <c r="K5" s="171"/>
      <c r="L5" s="170" t="s">
        <v>37</v>
      </c>
      <c r="M5" s="171"/>
      <c r="N5" s="170" t="s">
        <v>34</v>
      </c>
      <c r="O5" s="171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126</v>
      </c>
      <c r="B7" s="32">
        <v>1172185</v>
      </c>
      <c r="C7" s="33">
        <f>185541.43+486933.69</f>
        <v>672475.12</v>
      </c>
      <c r="D7" s="32">
        <v>15182</v>
      </c>
      <c r="E7" s="33">
        <f>1303.88+30459.45</f>
        <v>31763.33</v>
      </c>
      <c r="F7" s="32">
        <f>322819+270000+30000</f>
        <v>622819</v>
      </c>
      <c r="G7" s="33">
        <f>118284.38+609590.72</f>
        <v>727875.1</v>
      </c>
      <c r="H7" s="32">
        <f>20000+80000+100000+130000+150000</f>
        <v>480000</v>
      </c>
      <c r="I7" s="33">
        <f>69878+207696.52</f>
        <v>277574.52</v>
      </c>
      <c r="J7" s="32">
        <v>0</v>
      </c>
      <c r="K7" s="33">
        <v>29834</v>
      </c>
      <c r="L7" s="32">
        <v>0</v>
      </c>
      <c r="M7" s="37">
        <f>4883.6+38852.19</f>
        <v>43735.79</v>
      </c>
      <c r="N7" s="32">
        <v>80000</v>
      </c>
      <c r="O7" s="33">
        <v>93415.43</v>
      </c>
      <c r="P7" s="34">
        <f>+C7+E7+G7+I7+K7+O7+M7</f>
        <v>1876673.2899999998</v>
      </c>
      <c r="Q7" s="34">
        <f>+B7+D7+F7+H7+J7+N7+L7-P7</f>
        <v>493512.7100000002</v>
      </c>
      <c r="R7" s="5"/>
    </row>
    <row r="8" spans="1:18" ht="17.25">
      <c r="A8" s="31" t="s">
        <v>94</v>
      </c>
      <c r="B8" s="32">
        <v>21472</v>
      </c>
      <c r="C8" s="33">
        <f>5305.59+10357.26</f>
        <v>15662.85</v>
      </c>
      <c r="D8" s="32">
        <v>1400</v>
      </c>
      <c r="E8" s="33">
        <v>3846.8</v>
      </c>
      <c r="F8" s="32">
        <v>7370</v>
      </c>
      <c r="G8" s="33">
        <f>737.26+4945.83</f>
        <v>5683.09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7">
        <v>0</v>
      </c>
      <c r="N8" s="32">
        <v>0</v>
      </c>
      <c r="O8" s="33">
        <v>0</v>
      </c>
      <c r="P8" s="34">
        <f aca="true" t="shared" si="0" ref="P8:P15">+C8+E8+G8+I8+K8+O8</f>
        <v>25192.74</v>
      </c>
      <c r="Q8" s="34">
        <f aca="true" t="shared" si="1" ref="Q8:Q15">+B8+D8+F8+H8+J8+N8-P8</f>
        <v>5049.259999999998</v>
      </c>
      <c r="R8" s="5"/>
    </row>
    <row r="9" spans="1:18" ht="17.25">
      <c r="A9" s="31" t="s">
        <v>93</v>
      </c>
      <c r="B9" s="32">
        <v>227241</v>
      </c>
      <c r="C9" s="33">
        <f>52431.05+120250.57</f>
        <v>172681.62</v>
      </c>
      <c r="D9" s="32">
        <v>18971</v>
      </c>
      <c r="E9" s="33">
        <v>6109.6</v>
      </c>
      <c r="F9" s="32">
        <v>190000</v>
      </c>
      <c r="G9" s="33">
        <f>14203.71+83739.53</f>
        <v>97943.23999999999</v>
      </c>
      <c r="H9" s="32">
        <v>0</v>
      </c>
      <c r="I9" s="33">
        <v>0</v>
      </c>
      <c r="J9" s="32">
        <v>15150</v>
      </c>
      <c r="K9" s="33">
        <v>0</v>
      </c>
      <c r="L9" s="32">
        <v>0</v>
      </c>
      <c r="M9" s="37">
        <v>0</v>
      </c>
      <c r="N9" s="32">
        <v>0</v>
      </c>
      <c r="O9" s="33">
        <v>3176.27</v>
      </c>
      <c r="P9" s="34">
        <f t="shared" si="0"/>
        <v>279910.73</v>
      </c>
      <c r="Q9" s="34">
        <f t="shared" si="1"/>
        <v>171451.27000000002</v>
      </c>
      <c r="R9" s="5"/>
    </row>
    <row r="10" spans="1:18" ht="17.25">
      <c r="A10" s="31" t="s">
        <v>132</v>
      </c>
      <c r="B10" s="32">
        <v>39252</v>
      </c>
      <c r="C10" s="33">
        <f>9326.78+16725.38</f>
        <v>26052.160000000003</v>
      </c>
      <c r="D10" s="32">
        <v>700</v>
      </c>
      <c r="E10" s="33">
        <v>0</v>
      </c>
      <c r="F10" s="32">
        <v>31930</v>
      </c>
      <c r="G10" s="33">
        <f>500+2993.42</f>
        <v>3493.42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7">
        <v>0</v>
      </c>
      <c r="N10" s="32">
        <v>0</v>
      </c>
      <c r="O10" s="33">
        <v>0</v>
      </c>
      <c r="P10" s="34">
        <f t="shared" si="0"/>
        <v>29545.58</v>
      </c>
      <c r="Q10" s="34">
        <f t="shared" si="1"/>
        <v>42336.42</v>
      </c>
      <c r="R10" s="5"/>
    </row>
    <row r="11" spans="1:18" ht="17.25">
      <c r="A11" s="31" t="s">
        <v>133</v>
      </c>
      <c r="B11" s="32">
        <v>65332</v>
      </c>
      <c r="C11" s="33">
        <f>16491.88+33068.08</f>
        <v>49559.96000000001</v>
      </c>
      <c r="D11" s="32">
        <v>4700</v>
      </c>
      <c r="E11" s="33">
        <f>138.75+2883.41</f>
        <v>3022.16</v>
      </c>
      <c r="F11" s="32">
        <v>93400</v>
      </c>
      <c r="G11" s="33">
        <f>3417.46+32021.14</f>
        <v>35438.6</v>
      </c>
      <c r="H11" s="32">
        <v>0</v>
      </c>
      <c r="I11" s="33">
        <v>0</v>
      </c>
      <c r="J11" s="32">
        <v>0</v>
      </c>
      <c r="K11" s="33">
        <v>150</v>
      </c>
      <c r="L11" s="32">
        <v>0</v>
      </c>
      <c r="M11" s="37">
        <v>117</v>
      </c>
      <c r="N11" s="32">
        <v>0</v>
      </c>
      <c r="O11" s="33">
        <v>0</v>
      </c>
      <c r="P11" s="34">
        <f>+C11+E11+G11+I11+K11+O11+M11</f>
        <v>88287.72</v>
      </c>
      <c r="Q11" s="34">
        <f t="shared" si="1"/>
        <v>75144.28</v>
      </c>
      <c r="R11" s="5"/>
    </row>
    <row r="12" spans="1:18" ht="17.25">
      <c r="A12" s="31" t="s">
        <v>134</v>
      </c>
      <c r="B12" s="32">
        <v>0</v>
      </c>
      <c r="C12" s="33">
        <v>0</v>
      </c>
      <c r="D12" s="32">
        <v>0</v>
      </c>
      <c r="E12" s="33">
        <v>0</v>
      </c>
      <c r="F12" s="32">
        <v>0</v>
      </c>
      <c r="G12" s="33">
        <f>1850+8826.84</f>
        <v>10676.84</v>
      </c>
      <c r="H12" s="32">
        <v>0</v>
      </c>
      <c r="I12" s="33">
        <v>0</v>
      </c>
      <c r="J12" s="32">
        <v>0</v>
      </c>
      <c r="K12" s="33">
        <v>0</v>
      </c>
      <c r="L12" s="32">
        <v>0</v>
      </c>
      <c r="M12" s="37">
        <v>0</v>
      </c>
      <c r="N12" s="32">
        <v>0</v>
      </c>
      <c r="O12" s="33">
        <v>0</v>
      </c>
      <c r="P12" s="34">
        <f t="shared" si="0"/>
        <v>10676.84</v>
      </c>
      <c r="Q12" s="34">
        <f t="shared" si="1"/>
        <v>-10676.84</v>
      </c>
      <c r="R12" s="5"/>
    </row>
    <row r="13" spans="1:18" ht="17.25">
      <c r="A13" s="31" t="s">
        <v>135</v>
      </c>
      <c r="B13" s="32">
        <v>201536</v>
      </c>
      <c r="C13" s="33">
        <f>25518.61+55974.87</f>
        <v>81493.48000000001</v>
      </c>
      <c r="D13" s="32">
        <v>0</v>
      </c>
      <c r="E13" s="33">
        <v>218</v>
      </c>
      <c r="F13" s="32">
        <v>0</v>
      </c>
      <c r="G13" s="33">
        <v>884.99</v>
      </c>
      <c r="H13" s="32">
        <v>0</v>
      </c>
      <c r="I13" s="33">
        <v>0</v>
      </c>
      <c r="J13" s="32">
        <v>0</v>
      </c>
      <c r="K13" s="33">
        <v>0</v>
      </c>
      <c r="L13" s="32">
        <v>0</v>
      </c>
      <c r="M13" s="37">
        <v>0</v>
      </c>
      <c r="N13" s="32">
        <v>0</v>
      </c>
      <c r="O13" s="33">
        <v>1908.66</v>
      </c>
      <c r="P13" s="34">
        <f t="shared" si="0"/>
        <v>84505.13000000002</v>
      </c>
      <c r="Q13" s="34">
        <f t="shared" si="1"/>
        <v>117030.86999999998</v>
      </c>
      <c r="R13" s="5"/>
    </row>
    <row r="14" spans="1:18" ht="17.25">
      <c r="A14" s="31" t="s">
        <v>136</v>
      </c>
      <c r="B14" s="32">
        <v>118474</v>
      </c>
      <c r="C14" s="33">
        <f>26267.45+55128.2</f>
        <v>81395.65</v>
      </c>
      <c r="D14" s="32">
        <v>0</v>
      </c>
      <c r="E14" s="33">
        <v>0</v>
      </c>
      <c r="F14" s="32">
        <v>12000</v>
      </c>
      <c r="G14" s="33">
        <f>1750+8023.42</f>
        <v>9773.42</v>
      </c>
      <c r="H14" s="32">
        <v>0</v>
      </c>
      <c r="I14" s="33">
        <v>0</v>
      </c>
      <c r="J14" s="32">
        <v>0</v>
      </c>
      <c r="K14" s="33">
        <v>0</v>
      </c>
      <c r="L14" s="32">
        <v>0</v>
      </c>
      <c r="M14" s="37">
        <v>0</v>
      </c>
      <c r="N14" s="32">
        <v>0</v>
      </c>
      <c r="O14" s="33">
        <v>1770.21</v>
      </c>
      <c r="P14" s="34">
        <f t="shared" si="0"/>
        <v>92939.28</v>
      </c>
      <c r="Q14" s="34">
        <f t="shared" si="1"/>
        <v>37534.72</v>
      </c>
      <c r="R14" s="5"/>
    </row>
    <row r="15" spans="1:18" ht="17.25">
      <c r="A15" s="31" t="s">
        <v>137</v>
      </c>
      <c r="B15" s="32">
        <v>0</v>
      </c>
      <c r="C15" s="33">
        <v>0</v>
      </c>
      <c r="D15" s="32">
        <v>3500</v>
      </c>
      <c r="E15" s="33">
        <v>0</v>
      </c>
      <c r="F15" s="32">
        <v>27800</v>
      </c>
      <c r="G15" s="33">
        <v>0</v>
      </c>
      <c r="H15" s="32">
        <v>0</v>
      </c>
      <c r="I15" s="33">
        <v>0</v>
      </c>
      <c r="J15" s="32">
        <v>0</v>
      </c>
      <c r="K15" s="33">
        <v>0</v>
      </c>
      <c r="L15" s="32">
        <v>0</v>
      </c>
      <c r="M15" s="37">
        <v>0</v>
      </c>
      <c r="N15" s="32">
        <v>0</v>
      </c>
      <c r="O15" s="33">
        <v>0</v>
      </c>
      <c r="P15" s="34">
        <f t="shared" si="0"/>
        <v>0</v>
      </c>
      <c r="Q15" s="34">
        <f t="shared" si="1"/>
        <v>31300</v>
      </c>
      <c r="R15" s="5"/>
    </row>
    <row r="16" spans="1:18" ht="17.25">
      <c r="A16" s="31" t="s">
        <v>127</v>
      </c>
      <c r="B16" s="32">
        <v>0</v>
      </c>
      <c r="C16" s="33">
        <f>7924.93+17302.44</f>
        <v>25227.37</v>
      </c>
      <c r="D16" s="32">
        <v>0</v>
      </c>
      <c r="E16" s="33">
        <v>0</v>
      </c>
      <c r="F16" s="32">
        <v>0</v>
      </c>
      <c r="G16" s="33">
        <v>0</v>
      </c>
      <c r="H16" s="32">
        <v>0</v>
      </c>
      <c r="I16" s="33">
        <v>0</v>
      </c>
      <c r="J16" s="32">
        <v>0</v>
      </c>
      <c r="K16" s="33">
        <v>0</v>
      </c>
      <c r="L16" s="32">
        <v>0</v>
      </c>
      <c r="M16" s="37">
        <v>0</v>
      </c>
      <c r="N16" s="32">
        <v>0</v>
      </c>
      <c r="O16" s="33">
        <v>0</v>
      </c>
      <c r="P16" s="34">
        <f>+C16+E16+G16+I16+K16+O16</f>
        <v>25227.37</v>
      </c>
      <c r="Q16" s="34">
        <f>+B16+D16+F16+H16+J16+N16-P16</f>
        <v>-25227.37</v>
      </c>
      <c r="R16" s="5"/>
    </row>
    <row r="17" spans="1:18" ht="18" thickBot="1">
      <c r="A17" s="38" t="s">
        <v>11</v>
      </c>
      <c r="B17" s="39">
        <f aca="true" t="shared" si="2" ref="B17:Q17">SUM(B7:B16)</f>
        <v>1845492</v>
      </c>
      <c r="C17" s="40">
        <f t="shared" si="2"/>
        <v>1124548.21</v>
      </c>
      <c r="D17" s="39">
        <f t="shared" si="2"/>
        <v>44453</v>
      </c>
      <c r="E17" s="40">
        <f t="shared" si="2"/>
        <v>44959.89</v>
      </c>
      <c r="F17" s="39">
        <f t="shared" si="2"/>
        <v>985319</v>
      </c>
      <c r="G17" s="40">
        <f t="shared" si="2"/>
        <v>891768.7</v>
      </c>
      <c r="H17" s="39">
        <f t="shared" si="2"/>
        <v>480000</v>
      </c>
      <c r="I17" s="40">
        <f t="shared" si="2"/>
        <v>277574.52</v>
      </c>
      <c r="J17" s="39">
        <f t="shared" si="2"/>
        <v>15150</v>
      </c>
      <c r="K17" s="40">
        <f t="shared" si="2"/>
        <v>29984</v>
      </c>
      <c r="L17" s="39">
        <f t="shared" si="2"/>
        <v>0</v>
      </c>
      <c r="M17" s="40">
        <f t="shared" si="2"/>
        <v>43852.79</v>
      </c>
      <c r="N17" s="39">
        <f t="shared" si="2"/>
        <v>80000</v>
      </c>
      <c r="O17" s="40">
        <f t="shared" si="2"/>
        <v>100270.57</v>
      </c>
      <c r="P17" s="42">
        <f t="shared" si="2"/>
        <v>2512958.6799999997</v>
      </c>
      <c r="Q17" s="42">
        <f t="shared" si="2"/>
        <v>937455.3200000003</v>
      </c>
      <c r="R17" s="5"/>
    </row>
    <row r="18" spans="1:17" ht="17.25" thickBot="1">
      <c r="A18" s="43" t="s">
        <v>31</v>
      </c>
      <c r="B18" s="44"/>
      <c r="C18" s="143">
        <f>+C17/B17</f>
        <v>0.6093487319370661</v>
      </c>
      <c r="D18" s="143"/>
      <c r="E18" s="143">
        <f>+E17/D17</f>
        <v>1.0114028299552336</v>
      </c>
      <c r="F18" s="143"/>
      <c r="G18" s="143">
        <f>+G17/F17</f>
        <v>0.9050558245603707</v>
      </c>
      <c r="H18" s="143"/>
      <c r="I18" s="143">
        <f>+I17/H17</f>
        <v>0.57828025</v>
      </c>
      <c r="J18" s="143"/>
      <c r="K18" s="143">
        <f>+K17/J17</f>
        <v>1.979141914191419</v>
      </c>
      <c r="L18" s="151"/>
      <c r="M18" s="143"/>
      <c r="N18" s="156"/>
      <c r="O18" s="145">
        <f>+O17/N17</f>
        <v>1.2533821250000001</v>
      </c>
      <c r="P18" s="58"/>
      <c r="Q18" s="5"/>
    </row>
    <row r="19" spans="1:17" ht="16.5">
      <c r="A19" s="49"/>
      <c r="B19" s="4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144"/>
      <c r="Q19" s="5"/>
    </row>
    <row r="20" spans="1:16" ht="16.5">
      <c r="A20" s="49"/>
      <c r="B20" s="49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37" spans="5:8" ht="16.5">
      <c r="E37" s="59"/>
      <c r="F37" s="59"/>
      <c r="G37" s="60"/>
      <c r="H37" s="60"/>
    </row>
    <row r="38" spans="5:8" ht="16.5">
      <c r="E38" s="61"/>
      <c r="F38" s="61"/>
      <c r="G38" s="61"/>
      <c r="H38" s="61"/>
    </row>
    <row r="43" spans="1:6" ht="16.5">
      <c r="A43" s="53"/>
      <c r="B43" s="53"/>
      <c r="C43" s="53"/>
      <c r="D43" s="53"/>
      <c r="E43" s="53"/>
      <c r="F43" s="53"/>
    </row>
    <row r="44" ht="16.5">
      <c r="C44" s="48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spans="3:6" ht="16.5">
      <c r="C47" s="52"/>
      <c r="D47" s="5"/>
      <c r="E47" s="53"/>
      <c r="F47" s="53"/>
    </row>
    <row r="48" spans="3:6" ht="16.5">
      <c r="C48" s="52"/>
      <c r="D48" s="5"/>
      <c r="E48" s="53"/>
      <c r="F48" s="53"/>
    </row>
    <row r="49" spans="3:6" ht="16.5">
      <c r="C49" s="52"/>
      <c r="D49" s="5"/>
      <c r="E49" s="53"/>
      <c r="F49" s="53"/>
    </row>
    <row r="50" spans="3:6" ht="16.5">
      <c r="C50" s="52"/>
      <c r="D50" s="5"/>
      <c r="E50" s="53"/>
      <c r="F50" s="53"/>
    </row>
    <row r="52" spans="1:5" ht="16.5">
      <c r="A52" s="62" t="s">
        <v>27</v>
      </c>
      <c r="B52" s="62" t="s">
        <v>28</v>
      </c>
      <c r="C52" s="62" t="s">
        <v>29</v>
      </c>
      <c r="D52" s="62"/>
      <c r="E52" s="63"/>
    </row>
    <row r="53" spans="1:3" ht="17.25">
      <c r="A53" s="64">
        <f>+B17</f>
        <v>1845492</v>
      </c>
      <c r="B53" s="65">
        <f>+C17</f>
        <v>1124548.21</v>
      </c>
      <c r="C53" s="62" t="s">
        <v>1</v>
      </c>
    </row>
    <row r="54" spans="1:3" ht="17.25">
      <c r="A54" s="64">
        <f>+D17</f>
        <v>44453</v>
      </c>
      <c r="B54" s="65">
        <f>+E17</f>
        <v>44959.89</v>
      </c>
      <c r="C54" s="62" t="s">
        <v>2</v>
      </c>
    </row>
    <row r="55" spans="1:3" ht="17.25">
      <c r="A55" s="64">
        <f>+F17</f>
        <v>985319</v>
      </c>
      <c r="B55" s="65">
        <f>+G17</f>
        <v>891768.7</v>
      </c>
      <c r="C55" s="62" t="s">
        <v>3</v>
      </c>
    </row>
    <row r="56" spans="1:3" ht="17.25">
      <c r="A56" s="64">
        <f>+H17</f>
        <v>480000</v>
      </c>
      <c r="B56" s="65">
        <f>+I17</f>
        <v>277574.52</v>
      </c>
      <c r="C56" s="62" t="s">
        <v>35</v>
      </c>
    </row>
    <row r="57" spans="1:3" ht="17.25">
      <c r="A57" s="64">
        <f>+J17</f>
        <v>15150</v>
      </c>
      <c r="B57" s="65">
        <f>+K17</f>
        <v>29984</v>
      </c>
      <c r="C57" s="62" t="s">
        <v>33</v>
      </c>
    </row>
    <row r="58" spans="1:3" ht="17.25">
      <c r="A58" s="66">
        <f>+L17</f>
        <v>0</v>
      </c>
      <c r="B58" s="65">
        <f>+M17</f>
        <v>43852.79</v>
      </c>
      <c r="C58" s="62" t="s">
        <v>102</v>
      </c>
    </row>
    <row r="59" spans="1:3" ht="17.25">
      <c r="A59" s="64">
        <f>+N17</f>
        <v>80000</v>
      </c>
      <c r="B59" s="65">
        <f>+O17</f>
        <v>100270.57</v>
      </c>
      <c r="C59" s="62" t="s">
        <v>36</v>
      </c>
    </row>
    <row r="60" spans="1:3" ht="17.25">
      <c r="A60" s="64"/>
      <c r="B60" s="64"/>
      <c r="C60" s="62"/>
    </row>
    <row r="61" spans="1:2" ht="16.5">
      <c r="A61" s="1">
        <v>2809993</v>
      </c>
      <c r="B61" s="5">
        <v>749308.3</v>
      </c>
    </row>
  </sheetData>
  <mergeCells count="10">
    <mergeCell ref="B2:F2"/>
    <mergeCell ref="B3:D3"/>
    <mergeCell ref="J5:K5"/>
    <mergeCell ref="N5:O5"/>
    <mergeCell ref="B5:C5"/>
    <mergeCell ref="D5:E5"/>
    <mergeCell ref="F5:G5"/>
    <mergeCell ref="H5:I5"/>
    <mergeCell ref="L5:M5"/>
    <mergeCell ref="K2:L2"/>
  </mergeCells>
  <printOptions/>
  <pageMargins left="0.7874015748031497" right="0.59" top="0.46" bottom="0.4330708661417323" header="0" footer="0"/>
  <pageSetup horizontalDpi="600" verticalDpi="600" orientation="landscape" paperSize="5" r:id="rId2"/>
  <headerFooter alignWithMargins="0">
    <oddHeader>&amp;RCONTADURIA MUNICIPAL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F1">
      <selection activeCell="P13" sqref="P13"/>
    </sheetView>
  </sheetViews>
  <sheetFormatPr defaultColWidth="11.421875" defaultRowHeight="15"/>
  <cols>
    <col min="1" max="1" width="23.28125" style="1" customWidth="1"/>
    <col min="2" max="2" width="9.28125" style="1" customWidth="1"/>
    <col min="3" max="3" width="10.140625" style="1" customWidth="1"/>
    <col min="4" max="4" width="6.8515625" style="1" customWidth="1"/>
    <col min="5" max="5" width="9.28125" style="1" customWidth="1"/>
    <col min="6" max="6" width="7.57421875" style="1" customWidth="1"/>
    <col min="7" max="7" width="11.140625" style="1" customWidth="1"/>
    <col min="8" max="8" width="7.421875" style="1" customWidth="1"/>
    <col min="9" max="9" width="10.421875" style="1" customWidth="1"/>
    <col min="10" max="10" width="6.8515625" style="1" customWidth="1"/>
    <col min="11" max="11" width="9.28125" style="1" customWidth="1"/>
    <col min="12" max="12" width="7.28125" style="1" customWidth="1"/>
    <col min="13" max="13" width="9.57421875" style="1" customWidth="1"/>
    <col min="14" max="14" width="6.57421875" style="1" customWidth="1"/>
    <col min="15" max="15" width="9.28125" style="1" customWidth="1"/>
    <col min="16" max="16" width="12.00390625" style="1" customWidth="1"/>
    <col min="17" max="17" width="10.7109375" style="1" customWidth="1"/>
    <col min="18" max="18" width="11.7109375" style="1" bestFit="1" customWidth="1"/>
    <col min="19" max="16384" width="11.421875" style="1" customWidth="1"/>
  </cols>
  <sheetData>
    <row r="2" spans="1:15" ht="18">
      <c r="A2" s="150" t="s">
        <v>0</v>
      </c>
      <c r="B2" s="163" t="s">
        <v>122</v>
      </c>
      <c r="C2" s="178"/>
      <c r="D2" s="178"/>
      <c r="E2" s="179"/>
      <c r="F2" s="179"/>
      <c r="K2" s="181" t="s">
        <v>24</v>
      </c>
      <c r="L2" s="182"/>
      <c r="M2" s="157">
        <v>40422</v>
      </c>
      <c r="O2" s="56"/>
    </row>
    <row r="3" spans="2:4" ht="16.5">
      <c r="B3" s="176"/>
      <c r="C3" s="177"/>
      <c r="D3" s="177"/>
    </row>
    <row r="4" ht="17.25" thickBot="1"/>
    <row r="5" spans="1:17" ht="17.25">
      <c r="A5" s="25"/>
      <c r="B5" s="170" t="s">
        <v>1</v>
      </c>
      <c r="C5" s="171"/>
      <c r="D5" s="170" t="s">
        <v>2</v>
      </c>
      <c r="E5" s="171"/>
      <c r="F5" s="170" t="s">
        <v>3</v>
      </c>
      <c r="G5" s="171"/>
      <c r="H5" s="170" t="s">
        <v>4</v>
      </c>
      <c r="I5" s="171"/>
      <c r="J5" s="170" t="s">
        <v>33</v>
      </c>
      <c r="K5" s="171"/>
      <c r="L5" s="170" t="s">
        <v>37</v>
      </c>
      <c r="M5" s="171"/>
      <c r="N5" s="170" t="s">
        <v>34</v>
      </c>
      <c r="O5" s="171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128</v>
      </c>
      <c r="B7" s="32">
        <v>975896</v>
      </c>
      <c r="C7" s="33">
        <f>219112.6+477969.03</f>
        <v>697081.63</v>
      </c>
      <c r="D7" s="32">
        <v>34006</v>
      </c>
      <c r="E7" s="33">
        <f>2074.35+25877.94</f>
        <v>27952.289999999997</v>
      </c>
      <c r="F7" s="32">
        <f>682296+270000</f>
        <v>952296</v>
      </c>
      <c r="G7" s="33">
        <f>124868.11+715556.93</f>
        <v>840425.04</v>
      </c>
      <c r="H7" s="32">
        <f>730000+60000+81500</f>
        <v>871500</v>
      </c>
      <c r="I7" s="33">
        <f>34654.54+566067.02</f>
        <v>600721.56</v>
      </c>
      <c r="J7" s="32">
        <v>6000</v>
      </c>
      <c r="K7" s="33">
        <v>6197</v>
      </c>
      <c r="L7" s="32">
        <v>8000</v>
      </c>
      <c r="M7" s="37">
        <f>3835.69+44055.28</f>
        <v>47890.97</v>
      </c>
      <c r="N7" s="32">
        <v>35000</v>
      </c>
      <c r="O7" s="33">
        <v>61328.6</v>
      </c>
      <c r="P7" s="34">
        <f>+C7+E7+G7+I7+K7+O7+M7</f>
        <v>2281597.0900000003</v>
      </c>
      <c r="Q7" s="34">
        <f>+B7+D7+F7+H7+J7+N7+L7-P7</f>
        <v>601100.9099999997</v>
      </c>
      <c r="R7" s="5"/>
    </row>
    <row r="8" spans="1:18" ht="17.25">
      <c r="A8" s="31" t="s">
        <v>129</v>
      </c>
      <c r="B8" s="32">
        <v>132057</v>
      </c>
      <c r="C8" s="33">
        <f>41843.78+74657.66</f>
        <v>116501.44</v>
      </c>
      <c r="D8" s="32">
        <v>0</v>
      </c>
      <c r="E8" s="33">
        <v>0</v>
      </c>
      <c r="F8" s="32">
        <v>0</v>
      </c>
      <c r="G8" s="3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7">
        <v>0</v>
      </c>
      <c r="N8" s="32">
        <v>0</v>
      </c>
      <c r="O8" s="33">
        <v>1579.64</v>
      </c>
      <c r="P8" s="34">
        <f>+C8+E8+G8+I8+K8+O8</f>
        <v>118081.08</v>
      </c>
      <c r="Q8" s="34">
        <f>+B8+D8+F8+H8+J8+N8-P8</f>
        <v>13975.919999999998</v>
      </c>
      <c r="R8" s="5"/>
    </row>
    <row r="9" spans="1:18" ht="17.25">
      <c r="A9" s="31" t="s">
        <v>130</v>
      </c>
      <c r="B9" s="32">
        <v>100595</v>
      </c>
      <c r="C9" s="33">
        <f>25136.31+48521.38</f>
        <v>73657.69</v>
      </c>
      <c r="D9" s="35">
        <v>0</v>
      </c>
      <c r="E9" s="33">
        <v>0</v>
      </c>
      <c r="F9" s="32">
        <v>0</v>
      </c>
      <c r="G9" s="33">
        <f>1312+7310</f>
        <v>8622</v>
      </c>
      <c r="H9" s="32">
        <v>0</v>
      </c>
      <c r="I9" s="33">
        <v>0</v>
      </c>
      <c r="J9" s="35">
        <v>0</v>
      </c>
      <c r="K9" s="33">
        <v>0</v>
      </c>
      <c r="L9" s="32">
        <v>0</v>
      </c>
      <c r="M9" s="37">
        <v>0</v>
      </c>
      <c r="N9" s="32">
        <v>0</v>
      </c>
      <c r="O9" s="33">
        <v>0</v>
      </c>
      <c r="P9" s="34">
        <f>+C9+E9+G9+I9+K9+O9</f>
        <v>82279.69</v>
      </c>
      <c r="Q9" s="34">
        <f>+B9+D9+F9+H9+J9+N9-P9</f>
        <v>18315.309999999998</v>
      </c>
      <c r="R9" s="5"/>
    </row>
    <row r="10" spans="1:18" ht="17.25">
      <c r="A10" s="31"/>
      <c r="B10" s="32"/>
      <c r="C10" s="33"/>
      <c r="D10" s="35"/>
      <c r="E10" s="33"/>
      <c r="F10" s="32"/>
      <c r="G10" s="33"/>
      <c r="H10" s="32"/>
      <c r="I10" s="33"/>
      <c r="J10" s="35"/>
      <c r="K10" s="33"/>
      <c r="L10" s="37"/>
      <c r="M10" s="37"/>
      <c r="N10" s="32"/>
      <c r="O10" s="33"/>
      <c r="P10" s="34"/>
      <c r="Q10" s="34"/>
      <c r="R10" s="5"/>
    </row>
    <row r="11" spans="1:18" ht="18" thickBot="1">
      <c r="A11" s="38" t="s">
        <v>11</v>
      </c>
      <c r="B11" s="39">
        <f aca="true" t="shared" si="0" ref="B11:Q11">SUM(B7:B10)</f>
        <v>1208548</v>
      </c>
      <c r="C11" s="40">
        <f t="shared" si="0"/>
        <v>887240.76</v>
      </c>
      <c r="D11" s="39">
        <f t="shared" si="0"/>
        <v>34006</v>
      </c>
      <c r="E11" s="40">
        <f t="shared" si="0"/>
        <v>27952.289999999997</v>
      </c>
      <c r="F11" s="39">
        <f t="shared" si="0"/>
        <v>952296</v>
      </c>
      <c r="G11" s="40">
        <f t="shared" si="0"/>
        <v>849047.04</v>
      </c>
      <c r="H11" s="39">
        <f t="shared" si="0"/>
        <v>871500</v>
      </c>
      <c r="I11" s="40">
        <f t="shared" si="0"/>
        <v>600721.56</v>
      </c>
      <c r="J11" s="39">
        <f t="shared" si="0"/>
        <v>6000</v>
      </c>
      <c r="K11" s="40">
        <f t="shared" si="0"/>
        <v>6197</v>
      </c>
      <c r="L11" s="39">
        <f t="shared" si="0"/>
        <v>8000</v>
      </c>
      <c r="M11" s="40">
        <f t="shared" si="0"/>
        <v>47890.97</v>
      </c>
      <c r="N11" s="39">
        <f t="shared" si="0"/>
        <v>35000</v>
      </c>
      <c r="O11" s="40">
        <f t="shared" si="0"/>
        <v>62908.24</v>
      </c>
      <c r="P11" s="42">
        <f t="shared" si="0"/>
        <v>2481957.8600000003</v>
      </c>
      <c r="Q11" s="42">
        <f t="shared" si="0"/>
        <v>633392.1399999997</v>
      </c>
      <c r="R11" s="5"/>
    </row>
    <row r="12" spans="1:17" ht="17.25" thickBot="1">
      <c r="A12" s="43" t="s">
        <v>31</v>
      </c>
      <c r="B12" s="44"/>
      <c r="C12" s="143">
        <f>+C11/B11</f>
        <v>0.7341377917964367</v>
      </c>
      <c r="D12" s="143"/>
      <c r="E12" s="143">
        <f>+E11/D11</f>
        <v>0.8219811209786507</v>
      </c>
      <c r="F12" s="143"/>
      <c r="G12" s="143">
        <f>+G11/F11</f>
        <v>0.891578920839739</v>
      </c>
      <c r="H12" s="45"/>
      <c r="I12" s="143">
        <f>+I11/H11</f>
        <v>0.6892961101549054</v>
      </c>
      <c r="J12" s="45"/>
      <c r="K12" s="45">
        <f>+K11/J11</f>
        <v>1.0328333333333333</v>
      </c>
      <c r="L12" s="47"/>
      <c r="M12" s="151">
        <f>+M11/L11</f>
        <v>5.98637125</v>
      </c>
      <c r="N12" s="45"/>
      <c r="O12" s="145">
        <f>+O11/N11</f>
        <v>1.7973782857142857</v>
      </c>
      <c r="P12" s="58"/>
      <c r="Q12" s="5"/>
    </row>
    <row r="13" spans="1:17" ht="16.5">
      <c r="A13" s="49"/>
      <c r="B13" s="49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144"/>
      <c r="Q13" s="5"/>
    </row>
    <row r="14" spans="1:16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31" spans="5:8" ht="16.5">
      <c r="E31" s="59"/>
      <c r="F31" s="59"/>
      <c r="G31" s="60"/>
      <c r="H31" s="60"/>
    </row>
    <row r="32" spans="5:8" ht="16.5">
      <c r="E32" s="61"/>
      <c r="F32" s="61"/>
      <c r="G32" s="61"/>
      <c r="H32" s="61"/>
    </row>
    <row r="37" spans="1:6" ht="16.5">
      <c r="A37" s="53"/>
      <c r="B37" s="53"/>
      <c r="C37" s="53"/>
      <c r="D37" s="53"/>
      <c r="E37" s="53"/>
      <c r="F37" s="53"/>
    </row>
    <row r="38" ht="16.5">
      <c r="C38" s="48"/>
    </row>
    <row r="39" spans="3:6" ht="16.5">
      <c r="C39" s="52"/>
      <c r="D39" s="5"/>
      <c r="E39" s="53"/>
      <c r="F39" s="53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6" spans="1:5" ht="16.5">
      <c r="A46" s="62" t="s">
        <v>27</v>
      </c>
      <c r="B46" s="62" t="s">
        <v>28</v>
      </c>
      <c r="C46" s="62" t="s">
        <v>29</v>
      </c>
      <c r="D46" s="62"/>
      <c r="E46" s="63"/>
    </row>
    <row r="47" spans="1:3" ht="17.25">
      <c r="A47" s="64">
        <f>+B11</f>
        <v>1208548</v>
      </c>
      <c r="B47" s="65">
        <f>+C11</f>
        <v>887240.76</v>
      </c>
      <c r="C47" s="62" t="s">
        <v>1</v>
      </c>
    </row>
    <row r="48" spans="1:3" ht="17.25">
      <c r="A48" s="64">
        <f>+D11</f>
        <v>34006</v>
      </c>
      <c r="B48" s="65">
        <f>+E11</f>
        <v>27952.289999999997</v>
      </c>
      <c r="C48" s="62" t="s">
        <v>2</v>
      </c>
    </row>
    <row r="49" spans="1:3" ht="17.25">
      <c r="A49" s="64">
        <f>+F11</f>
        <v>952296</v>
      </c>
      <c r="B49" s="65">
        <f>+G11</f>
        <v>849047.04</v>
      </c>
      <c r="C49" s="62" t="s">
        <v>3</v>
      </c>
    </row>
    <row r="50" spans="1:3" ht="17.25">
      <c r="A50" s="64">
        <f>+H11</f>
        <v>871500</v>
      </c>
      <c r="B50" s="65">
        <f>+I11</f>
        <v>600721.56</v>
      </c>
      <c r="C50" s="62" t="s">
        <v>35</v>
      </c>
    </row>
    <row r="51" spans="1:3" ht="17.25">
      <c r="A51" s="64">
        <f>+J11</f>
        <v>6000</v>
      </c>
      <c r="B51" s="65">
        <f>+K11</f>
        <v>6197</v>
      </c>
      <c r="C51" s="62" t="s">
        <v>33</v>
      </c>
    </row>
    <row r="52" spans="1:3" ht="17.25">
      <c r="A52" s="66">
        <f>+L11</f>
        <v>8000</v>
      </c>
      <c r="B52" s="65">
        <f>+M11</f>
        <v>47890.97</v>
      </c>
      <c r="C52" s="62" t="s">
        <v>102</v>
      </c>
    </row>
    <row r="53" spans="1:3" ht="17.25">
      <c r="A53" s="64">
        <f>+N11</f>
        <v>35000</v>
      </c>
      <c r="B53" s="65">
        <f>+O11</f>
        <v>62908.24</v>
      </c>
      <c r="C53" s="62" t="s">
        <v>36</v>
      </c>
    </row>
    <row r="54" spans="1:3" ht="17.25">
      <c r="A54" s="64">
        <f>SUM(A47:A53)</f>
        <v>3115350</v>
      </c>
      <c r="B54" s="65">
        <f>SUM(B47:B53)</f>
        <v>2481957.860000001</v>
      </c>
      <c r="C54" s="62"/>
    </row>
    <row r="55" ht="16.5">
      <c r="B55" s="5"/>
    </row>
  </sheetData>
  <mergeCells count="10">
    <mergeCell ref="K2:L2"/>
    <mergeCell ref="B3:D3"/>
    <mergeCell ref="J5:K5"/>
    <mergeCell ref="N5:O5"/>
    <mergeCell ref="B5:C5"/>
    <mergeCell ref="D5:E5"/>
    <mergeCell ref="F5:G5"/>
    <mergeCell ref="H5:I5"/>
    <mergeCell ref="L5:M5"/>
    <mergeCell ref="B2:F2"/>
  </mergeCells>
  <printOptions/>
  <pageMargins left="0.93" right="0.75" top="0.81" bottom="0.58" header="0.26" footer="0"/>
  <pageSetup horizontalDpi="600" verticalDpi="600" orientation="landscape" paperSize="5" r:id="rId2"/>
  <headerFooter alignWithMargins="0">
    <oddHeader>&amp;RCONTADURIA MUNICIPAL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D71" sqref="D71"/>
    </sheetView>
  </sheetViews>
  <sheetFormatPr defaultColWidth="11.421875" defaultRowHeight="15"/>
  <cols>
    <col min="1" max="1" width="18.140625" style="1" customWidth="1"/>
    <col min="2" max="3" width="13.140625" style="1" customWidth="1"/>
    <col min="4" max="4" width="8.8515625" style="1" customWidth="1"/>
    <col min="5" max="5" width="13.140625" style="1" customWidth="1"/>
    <col min="6" max="6" width="12.57421875" style="1" customWidth="1"/>
    <col min="7" max="7" width="13.28125" style="1" customWidth="1"/>
    <col min="8" max="9" width="12.7109375" style="1" customWidth="1"/>
    <col min="10" max="10" width="11.8515625" style="1" customWidth="1"/>
    <col min="11" max="11" width="13.140625" style="1" customWidth="1"/>
    <col min="12" max="12" width="13.851562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ht="16.5">
      <c r="A1" s="17" t="s">
        <v>42</v>
      </c>
    </row>
    <row r="2" spans="1:3" ht="18.75" thickBot="1">
      <c r="A2" s="18" t="s">
        <v>43</v>
      </c>
      <c r="C2" s="157">
        <v>40422</v>
      </c>
    </row>
    <row r="3" spans="1:12" ht="18" thickTop="1">
      <c r="A3" s="2" t="s">
        <v>44</v>
      </c>
      <c r="B3" s="135" t="s">
        <v>45</v>
      </c>
      <c r="C3" s="135" t="s">
        <v>26</v>
      </c>
      <c r="D3" s="135" t="s">
        <v>46</v>
      </c>
      <c r="E3" s="161" t="s">
        <v>47</v>
      </c>
      <c r="F3" s="183"/>
      <c r="G3" s="183"/>
      <c r="H3" s="183"/>
      <c r="I3" s="183"/>
      <c r="J3" s="183"/>
      <c r="K3" s="184"/>
      <c r="L3" s="137" t="s">
        <v>25</v>
      </c>
    </row>
    <row r="4" spans="1:12" ht="17.25">
      <c r="A4" s="3"/>
      <c r="B4" s="136" t="s">
        <v>48</v>
      </c>
      <c r="C4" s="136" t="s">
        <v>48</v>
      </c>
      <c r="D4" s="136" t="s">
        <v>49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50</v>
      </c>
      <c r="J4" s="4" t="s">
        <v>30</v>
      </c>
      <c r="K4" s="4" t="s">
        <v>36</v>
      </c>
      <c r="L4" s="138" t="s">
        <v>51</v>
      </c>
    </row>
    <row r="5" spans="1:12" ht="16.5">
      <c r="A5" s="159" t="s">
        <v>16</v>
      </c>
      <c r="B5" s="101">
        <f>+INT!P12+INT!Q12</f>
        <v>3599635</v>
      </c>
      <c r="C5" s="101">
        <f>SUM(E5:K5)</f>
        <v>3266196.1999999997</v>
      </c>
      <c r="D5" s="102">
        <f>+C5/B5</f>
        <v>0.9073687193284874</v>
      </c>
      <c r="E5" s="101">
        <f>+INT!C12</f>
        <v>1045295.3799999999</v>
      </c>
      <c r="F5" s="101">
        <f>+INT!E$12</f>
        <v>51465.91</v>
      </c>
      <c r="G5" s="101">
        <f>+INT!G$12</f>
        <v>898814.6299999999</v>
      </c>
      <c r="H5" s="101">
        <f>+INT!I$12</f>
        <v>1029834.9299999999</v>
      </c>
      <c r="I5" s="101">
        <f>+INT!K$12</f>
        <v>81608.49999999999</v>
      </c>
      <c r="J5" s="101">
        <f>+INT!M12</f>
        <v>12219.46</v>
      </c>
      <c r="K5" s="101">
        <f>+INT!O$12</f>
        <v>146957.39</v>
      </c>
      <c r="L5" s="103">
        <f>+B5-C5</f>
        <v>333438.8000000003</v>
      </c>
    </row>
    <row r="6" spans="1:12" ht="16.5">
      <c r="A6" s="159" t="s">
        <v>17</v>
      </c>
      <c r="B6" s="101">
        <f>+GOB!P16+GOB!Q16</f>
        <v>6570032</v>
      </c>
      <c r="C6" s="101">
        <f>SUM(E6:K6)</f>
        <v>5613154.02</v>
      </c>
      <c r="D6" s="102">
        <f>+C6/B6</f>
        <v>0.8543571812131203</v>
      </c>
      <c r="E6" s="101">
        <f>+GOB!C16</f>
        <v>2588359.3100000005</v>
      </c>
      <c r="F6" s="101">
        <f>+GOB!E16</f>
        <v>55827.03</v>
      </c>
      <c r="G6" s="101">
        <f>+GOB!G16</f>
        <v>1347142.7099999997</v>
      </c>
      <c r="H6" s="101">
        <f>+GOB!I16</f>
        <v>873733.92</v>
      </c>
      <c r="I6" s="101">
        <f>+GOB!K16</f>
        <v>424880.1</v>
      </c>
      <c r="J6" s="101">
        <f>+GOB!M16</f>
        <v>48112.979999999996</v>
      </c>
      <c r="K6" s="101">
        <f>+GOB!O16</f>
        <v>275097.97</v>
      </c>
      <c r="L6" s="103">
        <f>+B6-C6</f>
        <v>956877.9800000004</v>
      </c>
    </row>
    <row r="7" spans="1:12" ht="16.5">
      <c r="A7" s="159" t="s">
        <v>18</v>
      </c>
      <c r="B7" s="101">
        <f>+SEH!P14+SEH!Q14</f>
        <v>6740291</v>
      </c>
      <c r="C7" s="101">
        <f>SUM(E7:K7)</f>
        <v>4240509.79</v>
      </c>
      <c r="D7" s="102">
        <f>+C7/B7</f>
        <v>0.629128592519225</v>
      </c>
      <c r="E7" s="101">
        <f>+SEH!C14</f>
        <v>2447378.61</v>
      </c>
      <c r="F7" s="101">
        <f>+SEH!E14</f>
        <v>291758.31</v>
      </c>
      <c r="G7" s="101">
        <f>+SEH!G14</f>
        <v>1180117.19</v>
      </c>
      <c r="H7" s="101">
        <f>+SEH!I14</f>
        <v>244</v>
      </c>
      <c r="I7" s="101">
        <f>+SEH!K14</f>
        <v>49656.75000000001</v>
      </c>
      <c r="J7" s="101">
        <f>+SEH!M14</f>
        <v>30409.05</v>
      </c>
      <c r="K7" s="101">
        <f>+SEH!O14</f>
        <v>240945.88</v>
      </c>
      <c r="L7" s="103">
        <f>+B7-C7</f>
        <v>2499781.21</v>
      </c>
    </row>
    <row r="8" spans="1:12" ht="16.5">
      <c r="A8" s="159" t="s">
        <v>21</v>
      </c>
      <c r="B8" s="101">
        <f>+SAS!P13+SAS!Q13</f>
        <v>13579360</v>
      </c>
      <c r="C8" s="101">
        <f aca="true" t="shared" si="0" ref="C8:C15">SUM(E8:K8)</f>
        <v>10260127.629999999</v>
      </c>
      <c r="D8" s="102">
        <f aca="true" t="shared" si="1" ref="D8:D15">+C8/B8</f>
        <v>0.7555678345665774</v>
      </c>
      <c r="E8" s="101">
        <f>+SAS!C13</f>
        <v>4565444.2</v>
      </c>
      <c r="F8" s="101">
        <f>+SAS!E13</f>
        <v>138534.54</v>
      </c>
      <c r="G8" s="101">
        <f>+SAS!G13</f>
        <v>1465849.32</v>
      </c>
      <c r="H8" s="101">
        <f>+SAS!I13</f>
        <v>3649099.57</v>
      </c>
      <c r="I8" s="101">
        <f>+SAS!K13</f>
        <v>30283.86</v>
      </c>
      <c r="J8" s="101">
        <f>+SAS!M13</f>
        <v>16936.6</v>
      </c>
      <c r="K8" s="101">
        <f>+SAS!O13</f>
        <v>393979.54000000004</v>
      </c>
      <c r="L8" s="103">
        <f aca="true" t="shared" si="2" ref="L8:L15">+B8-C8</f>
        <v>3319232.370000001</v>
      </c>
    </row>
    <row r="9" spans="1:12" ht="16.5">
      <c r="A9" s="159" t="s">
        <v>19</v>
      </c>
      <c r="B9" s="101">
        <f>+SOP!P12+SOP!Q12</f>
        <v>15541873</v>
      </c>
      <c r="C9" s="101">
        <f t="shared" si="0"/>
        <v>8054353.410000001</v>
      </c>
      <c r="D9" s="102">
        <f t="shared" si="1"/>
        <v>0.518235698490137</v>
      </c>
      <c r="E9" s="101">
        <f>+SOP!C12</f>
        <v>2097662.8100000005</v>
      </c>
      <c r="F9" s="101">
        <f>+SOP!E12</f>
        <v>196387.81</v>
      </c>
      <c r="G9" s="101">
        <f>+SOP!G12</f>
        <v>896798.47</v>
      </c>
      <c r="H9" s="101">
        <f>+SOP!I12</f>
        <v>8950</v>
      </c>
      <c r="I9" s="101">
        <f>+SOP!K12</f>
        <v>34993.54</v>
      </c>
      <c r="J9" s="101">
        <f>+SOP!M12</f>
        <v>4538961.49</v>
      </c>
      <c r="K9" s="101">
        <f>+SOP!O12</f>
        <v>280599.29000000004</v>
      </c>
      <c r="L9" s="103">
        <f t="shared" si="2"/>
        <v>7487519.589999999</v>
      </c>
    </row>
    <row r="10" spans="1:12" ht="16.5">
      <c r="A10" s="159" t="s">
        <v>87</v>
      </c>
      <c r="B10" s="101">
        <f>+SFOI!P13+SFOI!Q13</f>
        <v>9001958</v>
      </c>
      <c r="C10" s="101">
        <f t="shared" si="0"/>
        <v>7689492.2700000005</v>
      </c>
      <c r="D10" s="102">
        <f t="shared" si="1"/>
        <v>0.8542021935672217</v>
      </c>
      <c r="E10" s="101">
        <f>+SFOI!C13</f>
        <v>5118937.0200000005</v>
      </c>
      <c r="F10" s="101">
        <f>+SFOI!E13</f>
        <v>162217.28000000003</v>
      </c>
      <c r="G10" s="101">
        <f>+SFOI!G13</f>
        <v>2030716.6600000001</v>
      </c>
      <c r="H10" s="101">
        <f>+SFOI!I13</f>
        <v>1771.2600000000002</v>
      </c>
      <c r="I10" s="101">
        <f>+SFOI!K13</f>
        <v>25101.68</v>
      </c>
      <c r="J10" s="101">
        <f>+SFOI!M13</f>
        <v>3310.2799999999997</v>
      </c>
      <c r="K10" s="101">
        <f>+SFOI!O13</f>
        <v>347438.08999999997</v>
      </c>
      <c r="L10" s="103">
        <f t="shared" si="2"/>
        <v>1312465.7299999995</v>
      </c>
    </row>
    <row r="11" spans="1:12" ht="16.5">
      <c r="A11" s="159" t="s">
        <v>22</v>
      </c>
      <c r="B11" s="101">
        <f>+'CD'!P12+'CD'!Q12</f>
        <v>1274020</v>
      </c>
      <c r="C11" s="101">
        <f t="shared" si="0"/>
        <v>847617.4900000001</v>
      </c>
      <c r="D11" s="102">
        <f t="shared" si="1"/>
        <v>0.6653094064457388</v>
      </c>
      <c r="E11" s="101">
        <f>+'CD'!C12</f>
        <v>600851.9400000001</v>
      </c>
      <c r="F11" s="101">
        <f>+'CD'!E12</f>
        <v>7336.96</v>
      </c>
      <c r="G11" s="101">
        <f>+'CD'!G12</f>
        <v>19684.030000000002</v>
      </c>
      <c r="H11" s="101">
        <f>+'CD'!I12</f>
        <v>121987.46</v>
      </c>
      <c r="I11" s="101">
        <f>+'CD'!K12</f>
        <v>4201.29</v>
      </c>
      <c r="J11" s="101">
        <f>+'CD'!M12</f>
        <v>0</v>
      </c>
      <c r="K11" s="101">
        <f>+'CD'!O12</f>
        <v>93555.81000000001</v>
      </c>
      <c r="L11" s="103">
        <f t="shared" si="2"/>
        <v>426402.5099999999</v>
      </c>
    </row>
    <row r="12" spans="1:12" ht="16.5">
      <c r="A12" s="159" t="s">
        <v>23</v>
      </c>
      <c r="B12" s="101">
        <f>+'CM'!N12+'CM'!O12</f>
        <v>393473</v>
      </c>
      <c r="C12" s="101">
        <f t="shared" si="0"/>
        <v>242401.65</v>
      </c>
      <c r="D12" s="102">
        <f t="shared" si="1"/>
        <v>0.6160566290444325</v>
      </c>
      <c r="E12" s="101">
        <f>+'CM'!C12</f>
        <v>190316.09999999998</v>
      </c>
      <c r="F12" s="101">
        <f>+'CM'!E12</f>
        <v>306.01</v>
      </c>
      <c r="G12" s="101">
        <f>+'CM'!G12</f>
        <v>37392.23</v>
      </c>
      <c r="H12" s="101">
        <f>+'CM'!I12</f>
        <v>0</v>
      </c>
      <c r="I12" s="101">
        <f>+'CM'!K12</f>
        <v>3358.12</v>
      </c>
      <c r="J12" s="101">
        <v>0</v>
      </c>
      <c r="K12" s="101">
        <f>+'CM'!M12</f>
        <v>11029.19</v>
      </c>
      <c r="L12" s="103">
        <f t="shared" si="2"/>
        <v>151071.35</v>
      </c>
    </row>
    <row r="13" spans="1:12" ht="16.5">
      <c r="A13" s="159" t="s">
        <v>20</v>
      </c>
      <c r="B13" s="101">
        <f>+SSP!P13+SSP!Q13</f>
        <v>19704594.000000004</v>
      </c>
      <c r="C13" s="101">
        <f t="shared" si="0"/>
        <v>15996113.240000002</v>
      </c>
      <c r="D13" s="102">
        <f t="shared" si="1"/>
        <v>0.8117961344445869</v>
      </c>
      <c r="E13" s="101">
        <f>+SSP!C13</f>
        <v>8424848.71</v>
      </c>
      <c r="F13" s="101">
        <f>+SSP!E13</f>
        <v>2409797.42</v>
      </c>
      <c r="G13" s="101">
        <f>+SSP!G13</f>
        <v>3180615.6</v>
      </c>
      <c r="H13" s="101">
        <f>+SSP!I13</f>
        <v>90583.26</v>
      </c>
      <c r="I13" s="101">
        <f>+SSP!K13</f>
        <v>132162.22999999998</v>
      </c>
      <c r="J13" s="101">
        <f>+SSP!M13</f>
        <v>841253.79</v>
      </c>
      <c r="K13" s="101">
        <f>+SSP!O13</f>
        <v>916852.2299999999</v>
      </c>
      <c r="L13" s="103">
        <f t="shared" si="2"/>
        <v>3708480.7600000016</v>
      </c>
    </row>
    <row r="14" spans="1:12" ht="16.5">
      <c r="A14" s="159" t="s">
        <v>123</v>
      </c>
      <c r="B14" s="101">
        <f>+'CULT.'!P17+'CULT.'!Q17</f>
        <v>3450414</v>
      </c>
      <c r="C14" s="101">
        <f t="shared" si="0"/>
        <v>2512958.6799999997</v>
      </c>
      <c r="D14" s="102">
        <f t="shared" si="1"/>
        <v>0.7283064235190327</v>
      </c>
      <c r="E14" s="101">
        <f>+'CULT.'!C17</f>
        <v>1124548.21</v>
      </c>
      <c r="F14" s="101">
        <f>+'CULT.'!E17</f>
        <v>44959.89</v>
      </c>
      <c r="G14" s="101">
        <f>+'CULT.'!G17</f>
        <v>891768.7</v>
      </c>
      <c r="H14" s="101">
        <f>+'CULT.'!I17</f>
        <v>277574.52</v>
      </c>
      <c r="I14" s="101">
        <f>+'CULT.'!K17</f>
        <v>29984</v>
      </c>
      <c r="J14" s="101">
        <f>+'CULT.'!M17</f>
        <v>43852.79</v>
      </c>
      <c r="K14" s="101">
        <f>+'CULT.'!O17</f>
        <v>100270.57</v>
      </c>
      <c r="L14" s="103">
        <f t="shared" si="2"/>
        <v>937455.3200000003</v>
      </c>
    </row>
    <row r="15" spans="1:12" ht="16.5">
      <c r="A15" s="159" t="s">
        <v>124</v>
      </c>
      <c r="B15" s="101">
        <f>+'DEP.'!P11+'DEP.'!Q11</f>
        <v>3115350</v>
      </c>
      <c r="C15" s="101">
        <f t="shared" si="0"/>
        <v>2481957.860000001</v>
      </c>
      <c r="D15" s="102">
        <f t="shared" si="1"/>
        <v>0.7966866836792016</v>
      </c>
      <c r="E15" s="101">
        <f>+'DEP.'!C11</f>
        <v>887240.76</v>
      </c>
      <c r="F15" s="101">
        <f>+'DEP.'!E11</f>
        <v>27952.289999999997</v>
      </c>
      <c r="G15" s="101">
        <f>+'DEP.'!G11</f>
        <v>849047.04</v>
      </c>
      <c r="H15" s="101">
        <f>+'DEP.'!I11</f>
        <v>600721.56</v>
      </c>
      <c r="I15" s="101">
        <f>+'DEP.'!K11</f>
        <v>6197</v>
      </c>
      <c r="J15" s="101">
        <f>+'DEP.'!M11</f>
        <v>47890.97</v>
      </c>
      <c r="K15" s="101">
        <f>+'DEP.'!O11</f>
        <v>62908.24</v>
      </c>
      <c r="L15" s="103">
        <f t="shared" si="2"/>
        <v>633392.1399999992</v>
      </c>
    </row>
    <row r="16" spans="1:12" ht="17.25">
      <c r="A16" s="16" t="s">
        <v>11</v>
      </c>
      <c r="B16" s="11">
        <f>SUM(B5:B15)</f>
        <v>82971000</v>
      </c>
      <c r="C16" s="11">
        <f>SUM(C5:C15)</f>
        <v>61204882.24</v>
      </c>
      <c r="D16" s="12">
        <f>+C16/B16</f>
        <v>0.7376659584674163</v>
      </c>
      <c r="E16" s="11">
        <f aca="true" t="shared" si="3" ref="E16:K16">SUM(E5:E15)</f>
        <v>29090883.05000001</v>
      </c>
      <c r="F16" s="11">
        <f t="shared" si="3"/>
        <v>3386543.45</v>
      </c>
      <c r="G16" s="11">
        <f t="shared" si="3"/>
        <v>12797946.579999998</v>
      </c>
      <c r="H16" s="11">
        <f t="shared" si="3"/>
        <v>6654500.48</v>
      </c>
      <c r="I16" s="11">
        <f t="shared" si="3"/>
        <v>822427.0700000001</v>
      </c>
      <c r="J16" s="11">
        <f t="shared" si="3"/>
        <v>5582947.41</v>
      </c>
      <c r="K16" s="11">
        <f t="shared" si="3"/>
        <v>2869634.2</v>
      </c>
      <c r="L16" s="19">
        <f>SUM(L5:L15)</f>
        <v>21766117.76</v>
      </c>
    </row>
    <row r="17" spans="1:12" ht="18" thickBot="1">
      <c r="A17" s="15" t="s">
        <v>52</v>
      </c>
      <c r="B17" s="6"/>
      <c r="C17" s="7"/>
      <c r="D17" s="8"/>
      <c r="E17" s="13">
        <f>+E16/40231770</f>
        <v>0.7230823563069686</v>
      </c>
      <c r="F17" s="14">
        <f>+F16/3950811</f>
        <v>0.8571767796535952</v>
      </c>
      <c r="G17" s="14">
        <f>+G16/14576883</f>
        <v>0.8779618098052923</v>
      </c>
      <c r="H17" s="14">
        <f>+H16/8742716</f>
        <v>0.7611479636305241</v>
      </c>
      <c r="I17" s="14">
        <f>+I16/1274220</f>
        <v>0.645435693993188</v>
      </c>
      <c r="J17" s="14">
        <f>+J16/11256600</f>
        <v>0.4959710223335643</v>
      </c>
      <c r="K17" s="14">
        <f>+K16/2938000</f>
        <v>0.9767304969366917</v>
      </c>
      <c r="L17" s="9"/>
    </row>
    <row r="18" spans="2:12" ht="17.25" thickTop="1">
      <c r="B18" s="5"/>
      <c r="C18" s="52"/>
      <c r="D18" s="5"/>
      <c r="F18" s="78"/>
      <c r="G18" s="78"/>
      <c r="H18" s="78"/>
      <c r="I18" s="78"/>
      <c r="K18" s="78"/>
      <c r="L18" s="5"/>
    </row>
    <row r="19" spans="8:11" ht="16.5">
      <c r="H19" s="5"/>
      <c r="I19" s="5"/>
      <c r="J19" s="5"/>
      <c r="K19" s="128" t="s">
        <v>53</v>
      </c>
    </row>
    <row r="20" ht="16.5">
      <c r="K20" s="128"/>
    </row>
    <row r="21" ht="16.5">
      <c r="K21" s="129" t="s">
        <v>54</v>
      </c>
    </row>
    <row r="22" ht="16.5">
      <c r="K22" s="128"/>
    </row>
    <row r="23" ht="16.5">
      <c r="K23" s="158" t="s">
        <v>55</v>
      </c>
    </row>
    <row r="24" ht="16.5">
      <c r="K24" s="128"/>
    </row>
    <row r="25" ht="16.5">
      <c r="K25" s="130" t="s">
        <v>56</v>
      </c>
    </row>
    <row r="26" ht="16.5">
      <c r="K26" s="128"/>
    </row>
    <row r="27" ht="16.5">
      <c r="K27" s="139" t="s">
        <v>57</v>
      </c>
    </row>
    <row r="28" ht="16.5">
      <c r="K28" s="128"/>
    </row>
    <row r="29" ht="16.5">
      <c r="K29" s="131" t="s">
        <v>58</v>
      </c>
    </row>
    <row r="30" ht="16.5">
      <c r="K30" s="128"/>
    </row>
    <row r="31" ht="16.5">
      <c r="K31" s="132" t="s">
        <v>59</v>
      </c>
    </row>
    <row r="32" ht="16.5">
      <c r="K32" s="128"/>
    </row>
    <row r="33" ht="16.5">
      <c r="K33" s="133" t="s">
        <v>60</v>
      </c>
    </row>
    <row r="34" ht="16.5">
      <c r="K34" s="128"/>
    </row>
    <row r="35" ht="16.5">
      <c r="K35" s="134" t="s">
        <v>61</v>
      </c>
    </row>
    <row r="60" spans="5:13" ht="16.5">
      <c r="E60" s="1" t="s">
        <v>61</v>
      </c>
      <c r="F60" s="1" t="s">
        <v>60</v>
      </c>
      <c r="G60" s="1" t="s">
        <v>59</v>
      </c>
      <c r="H60" s="1" t="s">
        <v>62</v>
      </c>
      <c r="I60" s="1" t="s">
        <v>63</v>
      </c>
      <c r="J60" s="1" t="s">
        <v>64</v>
      </c>
      <c r="K60" s="1" t="s">
        <v>55</v>
      </c>
      <c r="L60" s="1" t="s">
        <v>65</v>
      </c>
      <c r="M60" s="1" t="s">
        <v>66</v>
      </c>
    </row>
    <row r="61" spans="1:13" ht="16.5">
      <c r="A61" s="1" t="s">
        <v>67</v>
      </c>
      <c r="E61" s="10">
        <f>+E5/B5</f>
        <v>0.29038927002321063</v>
      </c>
      <c r="F61" s="10">
        <f aca="true" t="shared" si="4" ref="F61:L61">+F5/$B$5</f>
        <v>0.014297535722371853</v>
      </c>
      <c r="G61" s="10">
        <f t="shared" si="4"/>
        <v>0.24969604696031678</v>
      </c>
      <c r="H61" s="10">
        <f t="shared" si="4"/>
        <v>0.28609426511299063</v>
      </c>
      <c r="I61" s="10">
        <f t="shared" si="4"/>
        <v>0.022671326398370942</v>
      </c>
      <c r="J61" s="10">
        <f t="shared" si="4"/>
        <v>0.003394638623082618</v>
      </c>
      <c r="K61" s="10">
        <f t="shared" si="4"/>
        <v>0.04082563648814394</v>
      </c>
      <c r="L61" s="10">
        <f t="shared" si="4"/>
        <v>0.0926312806715126</v>
      </c>
      <c r="M61" s="10">
        <f>SUM(E61:L61)</f>
        <v>1</v>
      </c>
    </row>
    <row r="62" spans="1:13" ht="16.5">
      <c r="A62" s="1" t="s">
        <v>68</v>
      </c>
      <c r="E62" s="10">
        <f>+E6/$B$6</f>
        <v>0.393964490583912</v>
      </c>
      <c r="F62" s="10">
        <f aca="true" t="shared" si="5" ref="F62:L62">+F6/$B$6</f>
        <v>0.008497223453401748</v>
      </c>
      <c r="G62" s="10">
        <f t="shared" si="5"/>
        <v>0.2050435538213512</v>
      </c>
      <c r="H62" s="10">
        <f t="shared" si="5"/>
        <v>0.13298777235788198</v>
      </c>
      <c r="I62" s="10">
        <f t="shared" si="5"/>
        <v>0.0646694110470086</v>
      </c>
      <c r="J62" s="10">
        <f t="shared" si="5"/>
        <v>0.007323096752040172</v>
      </c>
      <c r="K62" s="10">
        <f t="shared" si="5"/>
        <v>0.04187163319752476</v>
      </c>
      <c r="L62" s="10">
        <f t="shared" si="5"/>
        <v>0.14564281878687965</v>
      </c>
      <c r="M62" s="10">
        <f aca="true" t="shared" si="6" ref="M62:M69">SUM(E62:L62)</f>
        <v>1</v>
      </c>
    </row>
    <row r="63" spans="1:13" ht="16.5">
      <c r="A63" s="1" t="s">
        <v>69</v>
      </c>
      <c r="E63" s="10">
        <f>+E7/$B$7</f>
        <v>0.3630968766778764</v>
      </c>
      <c r="F63" s="10">
        <f aca="true" t="shared" si="7" ref="F63:L63">+F7/$B$7</f>
        <v>0.04328571422213077</v>
      </c>
      <c r="G63" s="10">
        <f t="shared" si="7"/>
        <v>0.17508401195141277</v>
      </c>
      <c r="H63" s="10">
        <f t="shared" si="7"/>
        <v>3.620021746835559E-05</v>
      </c>
      <c r="I63" s="10">
        <f t="shared" si="7"/>
        <v>0.007367152249064619</v>
      </c>
      <c r="J63" s="10">
        <f t="shared" si="7"/>
        <v>0.004511533700844667</v>
      </c>
      <c r="K63" s="10">
        <f t="shared" si="7"/>
        <v>0.03574710350042751</v>
      </c>
      <c r="L63" s="10">
        <f t="shared" si="7"/>
        <v>0.37087140748077496</v>
      </c>
      <c r="M63" s="10">
        <f t="shared" si="6"/>
        <v>1</v>
      </c>
    </row>
    <row r="64" spans="1:13" ht="16.5">
      <c r="A64" s="1" t="s">
        <v>72</v>
      </c>
      <c r="E64" s="10">
        <f>+E8/$B$8</f>
        <v>0.3362046664938554</v>
      </c>
      <c r="F64" s="10">
        <f aca="true" t="shared" si="8" ref="F64:L64">+F8/$B$8</f>
        <v>0.01020184603692663</v>
      </c>
      <c r="G64" s="10">
        <f t="shared" si="8"/>
        <v>0.10794686347515642</v>
      </c>
      <c r="H64" s="10">
        <f t="shared" si="8"/>
        <v>0.2687239730002003</v>
      </c>
      <c r="I64" s="10">
        <f t="shared" si="8"/>
        <v>0.002230138975621826</v>
      </c>
      <c r="J64" s="10">
        <f t="shared" si="8"/>
        <v>0.0012472310918924014</v>
      </c>
      <c r="K64" s="10">
        <f t="shared" si="8"/>
        <v>0.029013115492924558</v>
      </c>
      <c r="L64" s="10">
        <f t="shared" si="8"/>
        <v>0.24443216543342255</v>
      </c>
      <c r="M64" s="10">
        <f t="shared" si="6"/>
        <v>1</v>
      </c>
    </row>
    <row r="65" spans="1:13" ht="16.5">
      <c r="A65" s="1" t="s">
        <v>70</v>
      </c>
      <c r="E65" s="10">
        <f>+E9/$B$9</f>
        <v>0.13496846937302862</v>
      </c>
      <c r="F65" s="10">
        <f aca="true" t="shared" si="9" ref="F65:L65">+F9/$B$9</f>
        <v>0.012636045217973407</v>
      </c>
      <c r="G65" s="10">
        <f t="shared" si="9"/>
        <v>0.057702084555703165</v>
      </c>
      <c r="H65" s="10">
        <f t="shared" si="9"/>
        <v>0.000575863668426579</v>
      </c>
      <c r="I65" s="10">
        <f t="shared" si="9"/>
        <v>0.002251565174930975</v>
      </c>
      <c r="J65" s="10">
        <f t="shared" si="9"/>
        <v>0.29204726418752747</v>
      </c>
      <c r="K65" s="10">
        <f t="shared" si="9"/>
        <v>0.018054406312546758</v>
      </c>
      <c r="L65" s="10">
        <f t="shared" si="9"/>
        <v>0.481764301509863</v>
      </c>
      <c r="M65" s="10">
        <f t="shared" si="6"/>
        <v>1</v>
      </c>
    </row>
    <row r="66" spans="1:13" ht="16.5">
      <c r="A66" s="1" t="s">
        <v>99</v>
      </c>
      <c r="E66" s="10">
        <f>+E10/$B$10</f>
        <v>0.5686470676712778</v>
      </c>
      <c r="F66" s="10">
        <f aca="true" t="shared" si="10" ref="F66:L66">+F10/$B$10</f>
        <v>0.01802022182285232</v>
      </c>
      <c r="G66" s="10">
        <f t="shared" si="10"/>
        <v>0.2255861069336249</v>
      </c>
      <c r="H66" s="10">
        <f t="shared" si="10"/>
        <v>0.00019676385959587904</v>
      </c>
      <c r="I66" s="10">
        <f t="shared" si="10"/>
        <v>0.002788468908652984</v>
      </c>
      <c r="J66" s="10">
        <f t="shared" si="10"/>
        <v>0.00036772888742649096</v>
      </c>
      <c r="K66" s="10">
        <f t="shared" si="10"/>
        <v>0.03859583548379141</v>
      </c>
      <c r="L66" s="10">
        <f t="shared" si="10"/>
        <v>0.14579780643277823</v>
      </c>
      <c r="M66" s="10">
        <f t="shared" si="6"/>
        <v>1.0000000000000002</v>
      </c>
    </row>
    <row r="67" spans="1:13" ht="16.5">
      <c r="A67" s="1" t="s">
        <v>73</v>
      </c>
      <c r="E67" s="10">
        <f>+E11/$B$11</f>
        <v>0.4716189227798622</v>
      </c>
      <c r="F67" s="10">
        <f aca="true" t="shared" si="11" ref="F67:L67">+F11/$B$11</f>
        <v>0.005758904883753788</v>
      </c>
      <c r="G67" s="10">
        <f t="shared" si="11"/>
        <v>0.01545033045007143</v>
      </c>
      <c r="H67" s="10">
        <f t="shared" si="11"/>
        <v>0.09575003532126655</v>
      </c>
      <c r="I67" s="10">
        <f t="shared" si="11"/>
        <v>0.003297664086906014</v>
      </c>
      <c r="J67" s="10">
        <f t="shared" si="11"/>
        <v>0</v>
      </c>
      <c r="K67" s="10">
        <f t="shared" si="11"/>
        <v>0.07343354892387875</v>
      </c>
      <c r="L67" s="10">
        <f t="shared" si="11"/>
        <v>0.33469059355426123</v>
      </c>
      <c r="M67" s="10">
        <f t="shared" si="6"/>
        <v>1</v>
      </c>
    </row>
    <row r="68" spans="1:13" ht="16.5">
      <c r="A68" s="1" t="s">
        <v>74</v>
      </c>
      <c r="E68" s="10">
        <f>+E12/$B$12</f>
        <v>0.48368274316153836</v>
      </c>
      <c r="F68" s="10">
        <f aca="true" t="shared" si="12" ref="F68:L68">+F12/$B$12</f>
        <v>0.0007777153705590981</v>
      </c>
      <c r="G68" s="10">
        <f t="shared" si="12"/>
        <v>0.09503124737910862</v>
      </c>
      <c r="H68" s="10">
        <f t="shared" si="12"/>
        <v>0</v>
      </c>
      <c r="I68" s="10">
        <f t="shared" si="12"/>
        <v>0.008534562727302762</v>
      </c>
      <c r="J68" s="10">
        <f t="shared" si="12"/>
        <v>0</v>
      </c>
      <c r="K68" s="10">
        <f t="shared" si="12"/>
        <v>0.02803036040592366</v>
      </c>
      <c r="L68" s="10">
        <f t="shared" si="12"/>
        <v>0.38394337095556746</v>
      </c>
      <c r="M68" s="10">
        <f t="shared" si="6"/>
        <v>1</v>
      </c>
    </row>
    <row r="69" spans="1:13" ht="16.5">
      <c r="A69" s="1" t="s">
        <v>71</v>
      </c>
      <c r="E69" s="10">
        <f>+E13/$B$13</f>
        <v>0.4275575893621558</v>
      </c>
      <c r="F69" s="10">
        <f aca="true" t="shared" si="13" ref="F69:L69">+F13/$B$13</f>
        <v>0.12229622290111633</v>
      </c>
      <c r="G69" s="10">
        <f t="shared" si="13"/>
        <v>0.16141492689471296</v>
      </c>
      <c r="H69" s="10">
        <f t="shared" si="13"/>
        <v>0.004597062999623335</v>
      </c>
      <c r="I69" s="10">
        <f t="shared" si="13"/>
        <v>0.006707178539177207</v>
      </c>
      <c r="J69" s="10">
        <f t="shared" si="13"/>
        <v>0.04269328208437077</v>
      </c>
      <c r="K69" s="10">
        <f t="shared" si="13"/>
        <v>0.04652987166343035</v>
      </c>
      <c r="L69" s="10">
        <f t="shared" si="13"/>
        <v>0.18820386555541316</v>
      </c>
      <c r="M69" s="10">
        <f t="shared" si="6"/>
        <v>0.9999999999999999</v>
      </c>
    </row>
    <row r="70" spans="1:13" ht="16.5">
      <c r="A70" s="1" t="s">
        <v>95</v>
      </c>
      <c r="E70" s="10">
        <f>+E14/$B$14</f>
        <v>0.3259168928714061</v>
      </c>
      <c r="F70" s="10">
        <f aca="true" t="shared" si="14" ref="F70:L70">+F14/$B$14</f>
        <v>0.013030288539288329</v>
      </c>
      <c r="G70" s="10">
        <f t="shared" si="14"/>
        <v>0.25845266683939955</v>
      </c>
      <c r="H70" s="10">
        <f t="shared" si="14"/>
        <v>0.08044672900121551</v>
      </c>
      <c r="I70" s="10">
        <f t="shared" si="14"/>
        <v>0.008689971696150085</v>
      </c>
      <c r="J70" s="10">
        <f t="shared" si="14"/>
        <v>0.012709428491769394</v>
      </c>
      <c r="K70" s="10">
        <f t="shared" si="14"/>
        <v>0.029060446079803758</v>
      </c>
      <c r="L70" s="10">
        <f t="shared" si="14"/>
        <v>0.2716935764809673</v>
      </c>
      <c r="M70" s="10">
        <f>SUM(E70:L70)</f>
        <v>1</v>
      </c>
    </row>
    <row r="71" spans="1:13" ht="16.5">
      <c r="A71" s="1" t="s">
        <v>96</v>
      </c>
      <c r="E71" s="10">
        <f>+E15/$B$15</f>
        <v>0.2847964947758679</v>
      </c>
      <c r="F71" s="10">
        <f aca="true" t="shared" si="15" ref="F71:L71">+F15/$B$15</f>
        <v>0.008972439693774375</v>
      </c>
      <c r="G71" s="10">
        <f t="shared" si="15"/>
        <v>0.2725366459627329</v>
      </c>
      <c r="H71" s="10">
        <f t="shared" si="15"/>
        <v>0.19282634695941067</v>
      </c>
      <c r="I71" s="10">
        <f t="shared" si="15"/>
        <v>0.0019891825958560034</v>
      </c>
      <c r="J71" s="10">
        <f t="shared" si="15"/>
        <v>0.015372580929911568</v>
      </c>
      <c r="K71" s="10">
        <f t="shared" si="15"/>
        <v>0.020192992761647967</v>
      </c>
      <c r="L71" s="10">
        <f t="shared" si="15"/>
        <v>0.20331331632079838</v>
      </c>
      <c r="M71" s="10">
        <f>SUM(E71:L71)</f>
        <v>0.9999999999999998</v>
      </c>
    </row>
  </sheetData>
  <mergeCells count="1">
    <mergeCell ref="E3:K3"/>
  </mergeCells>
  <printOptions horizontalCentered="1"/>
  <pageMargins left="0.76" right="0.23" top="0.75" bottom="0.25" header="0.39" footer="0"/>
  <pageSetup horizontalDpi="600" verticalDpi="600" orientation="landscape" paperSize="5" r:id="rId2"/>
  <headerFooter alignWithMargins="0">
    <oddHeader>&amp;C&amp;"Palatino Linotype,Negrita"&amp;8CONTADURIA MUNICIPAL&amp;"Garamond,Normal"&amp;11
&amp;"Haettenschweiler,Normal"&amp;9Presupuesto vs. Ejecución Presupuestaria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5"/>
  <sheetViews>
    <sheetView workbookViewId="0" topLeftCell="F3">
      <selection activeCell="P18" sqref="P18"/>
    </sheetView>
  </sheetViews>
  <sheetFormatPr defaultColWidth="11.421875" defaultRowHeight="15"/>
  <cols>
    <col min="1" max="1" width="19.28125" style="1" customWidth="1"/>
    <col min="2" max="2" width="9.28125" style="1" customWidth="1"/>
    <col min="3" max="3" width="12.57421875" style="1" customWidth="1"/>
    <col min="4" max="4" width="6.8515625" style="1" customWidth="1"/>
    <col min="5" max="5" width="9.421875" style="1" customWidth="1"/>
    <col min="6" max="6" width="9.28125" style="1" customWidth="1"/>
    <col min="7" max="7" width="12.421875" style="1" customWidth="1"/>
    <col min="8" max="8" width="7.421875" style="1" customWidth="1"/>
    <col min="9" max="9" width="10.7109375" style="1" customWidth="1"/>
    <col min="10" max="10" width="8.421875" style="1" customWidth="1"/>
    <col min="11" max="11" width="10.8515625" style="1" customWidth="1"/>
    <col min="12" max="12" width="6.8515625" style="1" customWidth="1"/>
    <col min="13" max="13" width="9.57421875" style="1" customWidth="1"/>
    <col min="14" max="14" width="7.421875" style="1" customWidth="1"/>
    <col min="15" max="15" width="10.7109375" style="1" customWidth="1"/>
    <col min="16" max="16" width="11.8515625" style="1" customWidth="1"/>
    <col min="17" max="17" width="12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50" t="s">
        <v>0</v>
      </c>
      <c r="B2" s="163" t="s">
        <v>106</v>
      </c>
      <c r="C2" s="163"/>
      <c r="D2" s="168"/>
      <c r="E2" s="168"/>
      <c r="I2" s="21" t="s">
        <v>24</v>
      </c>
      <c r="J2" s="21"/>
      <c r="K2" s="157">
        <v>40422</v>
      </c>
      <c r="L2" s="122"/>
      <c r="M2" s="122"/>
      <c r="O2" s="20"/>
    </row>
    <row r="3" spans="2:4" ht="6.75" customHeight="1">
      <c r="B3" s="169"/>
      <c r="C3" s="169"/>
      <c r="D3" s="67"/>
    </row>
    <row r="4" ht="17.25" thickBot="1"/>
    <row r="5" spans="1:17" ht="17.25">
      <c r="A5" s="25"/>
      <c r="B5" s="170" t="s">
        <v>1</v>
      </c>
      <c r="C5" s="171"/>
      <c r="D5" s="170" t="s">
        <v>2</v>
      </c>
      <c r="E5" s="171"/>
      <c r="F5" s="170" t="s">
        <v>3</v>
      </c>
      <c r="G5" s="171"/>
      <c r="H5" s="170" t="s">
        <v>4</v>
      </c>
      <c r="I5" s="171"/>
      <c r="J5" s="170" t="s">
        <v>33</v>
      </c>
      <c r="K5" s="171"/>
      <c r="L5" s="170" t="s">
        <v>37</v>
      </c>
      <c r="M5" s="171"/>
      <c r="N5" s="170" t="s">
        <v>34</v>
      </c>
      <c r="O5" s="171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15</v>
      </c>
      <c r="B7" s="68">
        <v>905732</v>
      </c>
      <c r="C7" s="33">
        <f>22646.63+323881.48+4514.85+47160.07+5457.3+60801.15+10358.32+118926.09</f>
        <v>593745.89</v>
      </c>
      <c r="D7" s="68">
        <v>16165</v>
      </c>
      <c r="E7" s="33">
        <f>2596.25+17654.07</f>
        <v>20250.32</v>
      </c>
      <c r="F7" s="68">
        <v>192020</v>
      </c>
      <c r="G7" s="33">
        <f>25428.44+412685.26+20160</f>
        <v>458273.7</v>
      </c>
      <c r="H7" s="68">
        <v>405000</v>
      </c>
      <c r="I7" s="33">
        <f>37462.87+647701.52+99246.02</f>
        <v>784410.41</v>
      </c>
      <c r="J7" s="68">
        <v>0</v>
      </c>
      <c r="K7" s="33">
        <f>640+6685.78</f>
        <v>7325.78</v>
      </c>
      <c r="L7" s="68">
        <v>0</v>
      </c>
      <c r="M7" s="33">
        <v>36932.14</v>
      </c>
      <c r="N7" s="68">
        <v>250000</v>
      </c>
      <c r="O7" s="33">
        <v>148352.81</v>
      </c>
      <c r="P7" s="34">
        <f>+O7+K7+I7+G7+E7+C7+M7</f>
        <v>2049291.05</v>
      </c>
      <c r="Q7" s="34">
        <f>+B7+D7+F7+H7+J7+N7-P7</f>
        <v>-280374.05000000005</v>
      </c>
      <c r="R7" s="5"/>
    </row>
    <row r="8" spans="1:18" ht="17.25">
      <c r="A8" s="31" t="s">
        <v>84</v>
      </c>
      <c r="B8" s="68">
        <v>132988</v>
      </c>
      <c r="C8" s="33">
        <f>8105.95+89542.95</f>
        <v>97648.9</v>
      </c>
      <c r="D8" s="68">
        <v>0</v>
      </c>
      <c r="E8" s="33">
        <v>360</v>
      </c>
      <c r="F8" s="68">
        <v>0</v>
      </c>
      <c r="G8" s="33">
        <f>3225.86+14324.3</f>
        <v>17550.16</v>
      </c>
      <c r="H8" s="68">
        <v>0</v>
      </c>
      <c r="I8" s="33">
        <v>0</v>
      </c>
      <c r="J8" s="68">
        <v>0</v>
      </c>
      <c r="K8" s="33">
        <v>1161</v>
      </c>
      <c r="L8" s="68">
        <v>0</v>
      </c>
      <c r="M8" s="33">
        <v>0</v>
      </c>
      <c r="N8" s="68">
        <v>0</v>
      </c>
      <c r="O8" s="37">
        <v>4242.69</v>
      </c>
      <c r="P8" s="34">
        <f>+O8+K8+I8+G8+E8+C8</f>
        <v>120962.75</v>
      </c>
      <c r="Q8" s="34">
        <f>+B8+D8+F8+H8+J8+N8-P8</f>
        <v>12025.25</v>
      </c>
      <c r="R8" s="5"/>
    </row>
    <row r="9" spans="1:18" ht="17.25">
      <c r="A9" s="31" t="s">
        <v>85</v>
      </c>
      <c r="B9" s="68">
        <v>203537</v>
      </c>
      <c r="C9" s="33">
        <f>16340.07+174410.28</f>
        <v>190750.35</v>
      </c>
      <c r="D9" s="68">
        <v>0</v>
      </c>
      <c r="E9" s="33">
        <v>1849.25</v>
      </c>
      <c r="F9" s="68">
        <f>360094-15000</f>
        <v>345094</v>
      </c>
      <c r="G9" s="33">
        <f>2734.56+192424.22</f>
        <v>195158.78</v>
      </c>
      <c r="H9" s="68">
        <v>0</v>
      </c>
      <c r="I9" s="33">
        <v>0</v>
      </c>
      <c r="J9" s="68">
        <v>0</v>
      </c>
      <c r="K9" s="33">
        <v>295</v>
      </c>
      <c r="L9" s="68">
        <v>0</v>
      </c>
      <c r="M9" s="33">
        <v>0</v>
      </c>
      <c r="N9" s="68">
        <v>0</v>
      </c>
      <c r="O9" s="37">
        <v>9478.02</v>
      </c>
      <c r="P9" s="34">
        <f>+O9+K9+I9+G9+E9+C9+M9</f>
        <v>397531.4</v>
      </c>
      <c r="Q9" s="34">
        <f aca="true" t="shared" si="0" ref="Q9:Q15">+B9+D9+F9+H9+J9+N9-P9</f>
        <v>151099.59999999998</v>
      </c>
      <c r="R9" s="5"/>
    </row>
    <row r="10" spans="1:18" ht="17.25">
      <c r="A10" s="31" t="s">
        <v>75</v>
      </c>
      <c r="B10" s="68">
        <v>673259</v>
      </c>
      <c r="C10" s="33">
        <f>18494.16+206599.78+12937.68+145352.81+4230.44+46297.31+879.99+10188.02</f>
        <v>444980.19</v>
      </c>
      <c r="D10" s="68">
        <v>1600</v>
      </c>
      <c r="E10" s="33">
        <f>163.87+8196.94</f>
        <v>8360.810000000001</v>
      </c>
      <c r="F10" s="68">
        <v>10700</v>
      </c>
      <c r="G10" s="33">
        <f>2757.48+8188.27+754.07</f>
        <v>11699.82</v>
      </c>
      <c r="H10" s="68">
        <v>0</v>
      </c>
      <c r="I10" s="33">
        <v>0</v>
      </c>
      <c r="J10" s="68">
        <v>0</v>
      </c>
      <c r="K10" s="33">
        <f>4789.32+5881</f>
        <v>10670.32</v>
      </c>
      <c r="L10" s="68">
        <v>0</v>
      </c>
      <c r="M10" s="33">
        <v>1639.42</v>
      </c>
      <c r="N10" s="68">
        <v>0</v>
      </c>
      <c r="O10" s="37">
        <v>23537.04</v>
      </c>
      <c r="P10" s="34">
        <f>+O10+K10+I10+G10+E10+C10+M10</f>
        <v>500887.6</v>
      </c>
      <c r="Q10" s="34">
        <f t="shared" si="0"/>
        <v>184671.40000000002</v>
      </c>
      <c r="R10" s="5"/>
    </row>
    <row r="11" spans="1:18" ht="17.25">
      <c r="A11" s="31" t="s">
        <v>107</v>
      </c>
      <c r="B11" s="68">
        <v>444172</v>
      </c>
      <c r="C11" s="33">
        <f>37845.17+389627.26</f>
        <v>427472.43</v>
      </c>
      <c r="D11" s="68">
        <v>12000</v>
      </c>
      <c r="E11" s="33">
        <v>3131.4</v>
      </c>
      <c r="F11" s="68">
        <v>90000</v>
      </c>
      <c r="G11" s="33">
        <f>6354.2+64918.64</f>
        <v>71272.84</v>
      </c>
      <c r="H11" s="68">
        <v>0</v>
      </c>
      <c r="I11" s="33">
        <v>0</v>
      </c>
      <c r="J11" s="68">
        <f>5000+10000</f>
        <v>15000</v>
      </c>
      <c r="K11" s="33">
        <f>646+7803</f>
        <v>8449</v>
      </c>
      <c r="L11" s="68">
        <v>0</v>
      </c>
      <c r="M11" s="33">
        <v>136.42</v>
      </c>
      <c r="N11" s="68">
        <v>0</v>
      </c>
      <c r="O11" s="37">
        <v>24148.77</v>
      </c>
      <c r="P11" s="34">
        <f>+O11+K11+I11+G11+E11+C11+M11</f>
        <v>534610.86</v>
      </c>
      <c r="Q11" s="34">
        <f t="shared" si="0"/>
        <v>26561.140000000014</v>
      </c>
      <c r="R11" s="5"/>
    </row>
    <row r="12" spans="1:18" ht="17.25">
      <c r="A12" s="31" t="s">
        <v>12</v>
      </c>
      <c r="B12" s="68">
        <v>196210</v>
      </c>
      <c r="C12" s="33">
        <f>11083.08+120099.77</f>
        <v>131182.85</v>
      </c>
      <c r="D12" s="68">
        <v>6000</v>
      </c>
      <c r="E12" s="33">
        <v>1400</v>
      </c>
      <c r="F12" s="68">
        <f>168500-70000</f>
        <v>98500</v>
      </c>
      <c r="G12" s="33">
        <f>19396.95+7706.16</f>
        <v>27103.11</v>
      </c>
      <c r="H12" s="68">
        <v>0</v>
      </c>
      <c r="I12" s="33">
        <v>0</v>
      </c>
      <c r="J12" s="68">
        <v>450000</v>
      </c>
      <c r="K12" s="33">
        <f>3906.4+380932.21</f>
        <v>384838.61000000004</v>
      </c>
      <c r="L12" s="68">
        <v>0</v>
      </c>
      <c r="M12" s="33">
        <v>0</v>
      </c>
      <c r="N12" s="68">
        <v>0</v>
      </c>
      <c r="O12" s="37">
        <v>9160.9</v>
      </c>
      <c r="P12" s="34">
        <f>+O12+K12+I12+G12+E12+C12</f>
        <v>553685.4700000001</v>
      </c>
      <c r="Q12" s="34">
        <f t="shared" si="0"/>
        <v>197024.5299999999</v>
      </c>
      <c r="R12" s="5"/>
    </row>
    <row r="13" spans="1:18" ht="17.25">
      <c r="A13" s="31" t="s">
        <v>79</v>
      </c>
      <c r="B13" s="68">
        <v>521894</v>
      </c>
      <c r="C13" s="33">
        <f>40677.7+381742.76</f>
        <v>422420.46</v>
      </c>
      <c r="D13" s="68">
        <v>16449</v>
      </c>
      <c r="E13" s="33">
        <f>120.87+17066.11</f>
        <v>17186.98</v>
      </c>
      <c r="F13" s="68">
        <v>55000</v>
      </c>
      <c r="G13" s="33">
        <f>5476.78+24466.82</f>
        <v>29943.6</v>
      </c>
      <c r="H13" s="68">
        <v>102000</v>
      </c>
      <c r="I13" s="33">
        <v>65646.01</v>
      </c>
      <c r="J13" s="68">
        <v>0</v>
      </c>
      <c r="K13" s="33">
        <f>9876+1693.04</f>
        <v>11569.04</v>
      </c>
      <c r="L13" s="68">
        <v>0</v>
      </c>
      <c r="M13" s="33">
        <v>8225</v>
      </c>
      <c r="N13" s="68">
        <v>0</v>
      </c>
      <c r="O13" s="37">
        <v>20998.23</v>
      </c>
      <c r="P13" s="34">
        <f>+O13+K13+I13+G13+E13+C13+M13</f>
        <v>575989.3200000001</v>
      </c>
      <c r="Q13" s="34">
        <f>+B13+D13+F13+H13+J13+N13-P13+L13</f>
        <v>119353.67999999993</v>
      </c>
      <c r="R13" s="5"/>
    </row>
    <row r="14" spans="1:18" ht="17.25">
      <c r="A14" s="31" t="s">
        <v>78</v>
      </c>
      <c r="B14" s="68">
        <v>300165</v>
      </c>
      <c r="C14" s="33">
        <f>18136.07+215295.47</f>
        <v>233431.54</v>
      </c>
      <c r="D14" s="68">
        <f>35000-15000</f>
        <v>20000</v>
      </c>
      <c r="E14" s="33">
        <f>241.74+3046.53</f>
        <v>3288.2700000000004</v>
      </c>
      <c r="F14" s="68">
        <f>646000+250000</f>
        <v>896000</v>
      </c>
      <c r="G14" s="33">
        <f>87706.8+441003.45</f>
        <v>528710.25</v>
      </c>
      <c r="H14" s="68">
        <f>3000+135000</f>
        <v>138000</v>
      </c>
      <c r="I14" s="33">
        <v>23677.5</v>
      </c>
      <c r="J14" s="68">
        <v>0</v>
      </c>
      <c r="K14" s="33">
        <v>571.35</v>
      </c>
      <c r="L14" s="68">
        <v>0</v>
      </c>
      <c r="M14" s="33">
        <v>1180</v>
      </c>
      <c r="N14" s="68">
        <v>0</v>
      </c>
      <c r="O14" s="37">
        <v>32535.46</v>
      </c>
      <c r="P14" s="34">
        <f>+O14+K14+I14+G14+E14+C14+M14</f>
        <v>823394.3700000001</v>
      </c>
      <c r="Q14" s="34">
        <f t="shared" si="0"/>
        <v>530770.6299999999</v>
      </c>
      <c r="R14" s="5"/>
    </row>
    <row r="15" spans="1:18" ht="17.25">
      <c r="A15" s="31" t="s">
        <v>108</v>
      </c>
      <c r="B15" s="32">
        <v>64247</v>
      </c>
      <c r="C15" s="33">
        <f>4079.01+42647.69</f>
        <v>46726.700000000004</v>
      </c>
      <c r="D15" s="32">
        <v>2000</v>
      </c>
      <c r="E15" s="33">
        <v>0</v>
      </c>
      <c r="F15" s="32">
        <v>6300</v>
      </c>
      <c r="G15" s="33">
        <v>7430.45</v>
      </c>
      <c r="H15" s="32">
        <v>0</v>
      </c>
      <c r="I15" s="33">
        <v>0</v>
      </c>
      <c r="J15" s="32">
        <v>0</v>
      </c>
      <c r="K15" s="33">
        <v>0</v>
      </c>
      <c r="L15" s="68">
        <v>0</v>
      </c>
      <c r="M15" s="37">
        <v>0</v>
      </c>
      <c r="N15" s="32">
        <v>0</v>
      </c>
      <c r="O15" s="37">
        <v>2644.05</v>
      </c>
      <c r="P15" s="34">
        <f>+O15+K15+I15+G15+E15+C15</f>
        <v>56801.200000000004</v>
      </c>
      <c r="Q15" s="34">
        <f t="shared" si="0"/>
        <v>15745.799999999996</v>
      </c>
      <c r="R15" s="5"/>
    </row>
    <row r="16" spans="1:18" ht="18" thickBot="1">
      <c r="A16" s="38" t="s">
        <v>11</v>
      </c>
      <c r="B16" s="39">
        <f aca="true" t="shared" si="1" ref="B16:Q16">SUM(B7:B15)</f>
        <v>3442204</v>
      </c>
      <c r="C16" s="40">
        <f t="shared" si="1"/>
        <v>2588359.3100000005</v>
      </c>
      <c r="D16" s="39">
        <f t="shared" si="1"/>
        <v>74214</v>
      </c>
      <c r="E16" s="40">
        <f t="shared" si="1"/>
        <v>55827.03</v>
      </c>
      <c r="F16" s="39">
        <f t="shared" si="1"/>
        <v>1693614</v>
      </c>
      <c r="G16" s="40">
        <f t="shared" si="1"/>
        <v>1347142.7099999997</v>
      </c>
      <c r="H16" s="39">
        <f t="shared" si="1"/>
        <v>645000</v>
      </c>
      <c r="I16" s="40">
        <f t="shared" si="1"/>
        <v>873733.92</v>
      </c>
      <c r="J16" s="39">
        <f t="shared" si="1"/>
        <v>465000</v>
      </c>
      <c r="K16" s="40">
        <f t="shared" si="1"/>
        <v>424880.1</v>
      </c>
      <c r="L16" s="39">
        <f t="shared" si="1"/>
        <v>0</v>
      </c>
      <c r="M16" s="40">
        <f t="shared" si="1"/>
        <v>48112.979999999996</v>
      </c>
      <c r="N16" s="39">
        <f t="shared" si="1"/>
        <v>250000</v>
      </c>
      <c r="O16" s="40">
        <f t="shared" si="1"/>
        <v>275097.97</v>
      </c>
      <c r="P16" s="42">
        <f t="shared" si="1"/>
        <v>5613154.0200000005</v>
      </c>
      <c r="Q16" s="42">
        <f t="shared" si="1"/>
        <v>956877.9799999997</v>
      </c>
      <c r="R16" s="5"/>
    </row>
    <row r="17" spans="1:17" ht="17.25" thickBot="1">
      <c r="A17" s="43" t="s">
        <v>31</v>
      </c>
      <c r="B17" s="44"/>
      <c r="C17" s="143">
        <f>+C16/B16</f>
        <v>0.7519482604749749</v>
      </c>
      <c r="D17" s="46"/>
      <c r="E17" s="143">
        <f>+E16/D16</f>
        <v>0.7522439162422184</v>
      </c>
      <c r="F17" s="143"/>
      <c r="G17" s="143">
        <f>+G16/F16</f>
        <v>0.7954248783961397</v>
      </c>
      <c r="H17" s="143"/>
      <c r="I17" s="143">
        <f>+I16/H16</f>
        <v>1.3546262325581395</v>
      </c>
      <c r="J17" s="143"/>
      <c r="K17" s="143">
        <f>+K16/J16</f>
        <v>0.9137206451612903</v>
      </c>
      <c r="L17" s="151"/>
      <c r="M17" s="151"/>
      <c r="N17" s="143"/>
      <c r="O17" s="152">
        <f>+O16/N16</f>
        <v>1.1003918799999999</v>
      </c>
      <c r="P17" s="58"/>
      <c r="Q17" s="58"/>
    </row>
    <row r="18" spans="1:17" ht="15.75" customHeight="1">
      <c r="A18" s="49"/>
      <c r="B18" s="4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2"/>
      <c r="Q18" s="58"/>
    </row>
    <row r="19" ht="16.5" customHeight="1">
      <c r="P19" s="52"/>
    </row>
    <row r="21" ht="17.25">
      <c r="P21" s="69"/>
    </row>
    <row r="22" ht="16.5">
      <c r="P22" s="70"/>
    </row>
    <row r="23" ht="16.5">
      <c r="P23" s="58"/>
    </row>
    <row r="24" ht="16.5">
      <c r="P24" s="58"/>
    </row>
    <row r="25" ht="16.5">
      <c r="P25" s="58"/>
    </row>
    <row r="39" spans="1:6" ht="16.5">
      <c r="A39" s="53"/>
      <c r="B39" s="53"/>
      <c r="C39" s="53"/>
      <c r="D39" s="53"/>
      <c r="E39" s="53"/>
      <c r="F39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spans="3:6" ht="16.5">
      <c r="C47" s="52"/>
      <c r="D47" s="5"/>
      <c r="E47" s="53"/>
      <c r="F47" s="53"/>
    </row>
    <row r="48" ht="16.5">
      <c r="C48" s="48"/>
    </row>
    <row r="50" spans="1:4" ht="16.5">
      <c r="A50" s="62" t="s">
        <v>27</v>
      </c>
      <c r="B50" s="71" t="s">
        <v>28</v>
      </c>
      <c r="C50" s="62" t="s">
        <v>29</v>
      </c>
      <c r="D50" s="62"/>
    </row>
    <row r="51" spans="1:3" ht="17.25">
      <c r="A51" s="64">
        <f>+B16</f>
        <v>3442204</v>
      </c>
      <c r="B51" s="65">
        <f>+C16</f>
        <v>2588359.3100000005</v>
      </c>
      <c r="C51" s="62" t="s">
        <v>1</v>
      </c>
    </row>
    <row r="52" spans="1:3" ht="17.25">
      <c r="A52" s="64">
        <f>+D16</f>
        <v>74214</v>
      </c>
      <c r="B52" s="65">
        <f>+E16</f>
        <v>55827.03</v>
      </c>
      <c r="C52" s="62" t="s">
        <v>2</v>
      </c>
    </row>
    <row r="53" spans="1:3" ht="17.25">
      <c r="A53" s="64">
        <f>+F16</f>
        <v>1693614</v>
      </c>
      <c r="B53" s="65">
        <f>+G16</f>
        <v>1347142.7099999997</v>
      </c>
      <c r="C53" s="62" t="s">
        <v>3</v>
      </c>
    </row>
    <row r="54" spans="1:3" ht="17.25">
      <c r="A54" s="64">
        <f>+H16</f>
        <v>645000</v>
      </c>
      <c r="B54" s="65">
        <f>+I16</f>
        <v>873733.92</v>
      </c>
      <c r="C54" s="62" t="s">
        <v>35</v>
      </c>
    </row>
    <row r="55" spans="1:3" ht="17.25">
      <c r="A55" s="64">
        <f>+J16</f>
        <v>465000</v>
      </c>
      <c r="B55" s="65">
        <f>+K16</f>
        <v>424880.1</v>
      </c>
      <c r="C55" s="62" t="s">
        <v>33</v>
      </c>
    </row>
    <row r="56" spans="1:3" ht="17.25">
      <c r="A56" s="64">
        <v>0</v>
      </c>
      <c r="B56" s="65">
        <f>+M16</f>
        <v>48112.979999999996</v>
      </c>
      <c r="C56" s="62" t="s">
        <v>104</v>
      </c>
    </row>
    <row r="57" spans="1:3" ht="17.25">
      <c r="A57" s="64">
        <f>+N16</f>
        <v>250000</v>
      </c>
      <c r="B57" s="65">
        <f>+O16</f>
        <v>275097.97</v>
      </c>
      <c r="C57" s="62" t="s">
        <v>36</v>
      </c>
    </row>
    <row r="58" spans="1:3" ht="17.25">
      <c r="A58" s="64"/>
      <c r="B58" s="64"/>
      <c r="C58" s="62"/>
    </row>
    <row r="59" spans="1:3" ht="17.25">
      <c r="A59" s="64">
        <v>866913</v>
      </c>
      <c r="B59" s="65">
        <v>406071.92</v>
      </c>
      <c r="C59" s="62"/>
    </row>
    <row r="60" spans="1:3" ht="17.25">
      <c r="A60" s="64"/>
      <c r="B60" s="64"/>
      <c r="C60" s="62"/>
    </row>
    <row r="61" spans="1:2" ht="17.25">
      <c r="A61" s="64"/>
      <c r="B61" s="64"/>
    </row>
    <row r="62" spans="1:2" ht="17.25">
      <c r="A62" s="64"/>
      <c r="B62" s="64"/>
    </row>
    <row r="63" spans="1:2" ht="17.25">
      <c r="A63" s="64"/>
      <c r="B63" s="64"/>
    </row>
    <row r="64" spans="1:2" ht="17.25">
      <c r="A64" s="64"/>
      <c r="B64" s="64"/>
    </row>
    <row r="65" spans="1:2" ht="17.25">
      <c r="A65" s="64"/>
      <c r="B65" s="64"/>
    </row>
    <row r="66" spans="1:2" ht="17.25">
      <c r="A66" s="64"/>
      <c r="B66" s="64"/>
    </row>
    <row r="67" spans="1:2" ht="17.25">
      <c r="A67" s="64"/>
      <c r="B67" s="64"/>
    </row>
    <row r="68" spans="1:2" ht="17.25">
      <c r="A68" s="64"/>
      <c r="B68" s="64"/>
    </row>
    <row r="69" spans="1:2" ht="17.25">
      <c r="A69" s="64"/>
      <c r="B69" s="64"/>
    </row>
    <row r="70" spans="1:2" ht="17.25">
      <c r="A70" s="64"/>
      <c r="B70" s="64"/>
    </row>
    <row r="71" spans="1:2" ht="17.25">
      <c r="A71" s="64"/>
      <c r="B71" s="64"/>
    </row>
    <row r="72" spans="1:2" ht="17.25">
      <c r="A72" s="64"/>
      <c r="B72" s="64"/>
    </row>
    <row r="73" spans="1:2" ht="17.25">
      <c r="A73" s="64"/>
      <c r="B73" s="64"/>
    </row>
    <row r="74" spans="1:2" ht="17.25">
      <c r="A74" s="64"/>
      <c r="B74" s="64"/>
    </row>
    <row r="75" spans="1:2" ht="17.25">
      <c r="A75" s="64"/>
      <c r="B75" s="64"/>
    </row>
  </sheetData>
  <mergeCells count="9">
    <mergeCell ref="B2:E2"/>
    <mergeCell ref="B3:C3"/>
    <mergeCell ref="J5:K5"/>
    <mergeCell ref="N5:O5"/>
    <mergeCell ref="B5:C5"/>
    <mergeCell ref="D5:E5"/>
    <mergeCell ref="F5:G5"/>
    <mergeCell ref="H5:I5"/>
    <mergeCell ref="L5:M5"/>
  </mergeCells>
  <printOptions/>
  <pageMargins left="0.89" right="0.34" top="0.46" bottom="0.57" header="0.2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workbookViewId="0" topLeftCell="I2">
      <selection activeCell="G12" sqref="G12"/>
    </sheetView>
  </sheetViews>
  <sheetFormatPr defaultColWidth="11.421875" defaultRowHeight="15"/>
  <cols>
    <col min="1" max="1" width="15.57421875" style="1" customWidth="1"/>
    <col min="2" max="2" width="9.140625" style="1" customWidth="1"/>
    <col min="3" max="3" width="12.421875" style="1" customWidth="1"/>
    <col min="4" max="4" width="7.8515625" style="1" customWidth="1"/>
    <col min="5" max="5" width="10.421875" style="1" customWidth="1"/>
    <col min="6" max="6" width="9.28125" style="1" customWidth="1"/>
    <col min="7" max="7" width="12.00390625" style="1" customWidth="1"/>
    <col min="8" max="8" width="7.421875" style="1" customWidth="1"/>
    <col min="9" max="9" width="8.7109375" style="1" customWidth="1"/>
    <col min="10" max="10" width="7.57421875" style="1" customWidth="1"/>
    <col min="11" max="11" width="9.28125" style="1" customWidth="1"/>
    <col min="12" max="12" width="7.57421875" style="1" customWidth="1"/>
    <col min="13" max="13" width="9.28125" style="1" customWidth="1"/>
    <col min="14" max="14" width="9.421875" style="1" customWidth="1"/>
    <col min="15" max="16" width="11.8515625" style="1" customWidth="1"/>
    <col min="17" max="17" width="12.140625" style="1" customWidth="1"/>
    <col min="18" max="18" width="13.8515625" style="1" bestFit="1" customWidth="1"/>
    <col min="19" max="16384" width="11.421875" style="1" customWidth="1"/>
  </cols>
  <sheetData>
    <row r="1" spans="14:15" ht="16.5">
      <c r="N1" s="72"/>
      <c r="O1" s="72"/>
    </row>
    <row r="2" spans="1:15" ht="18">
      <c r="A2" s="150" t="s">
        <v>0</v>
      </c>
      <c r="B2" s="163" t="s">
        <v>109</v>
      </c>
      <c r="C2" s="174"/>
      <c r="D2" s="174"/>
      <c r="E2" s="174"/>
      <c r="F2" s="174"/>
      <c r="G2" s="154"/>
      <c r="L2" s="172" t="s">
        <v>24</v>
      </c>
      <c r="M2" s="173"/>
      <c r="N2" s="157">
        <v>40422</v>
      </c>
      <c r="O2" s="73"/>
    </row>
    <row r="3" spans="2:5" ht="12.75" customHeight="1">
      <c r="B3" s="175"/>
      <c r="C3" s="175"/>
      <c r="D3" s="175"/>
      <c r="E3" s="175"/>
    </row>
    <row r="4" spans="15:16" ht="18" thickBot="1">
      <c r="O4" s="74"/>
      <c r="P4" s="65"/>
    </row>
    <row r="5" spans="1:17" ht="17.25">
      <c r="A5" s="25"/>
      <c r="B5" s="170" t="s">
        <v>1</v>
      </c>
      <c r="C5" s="171"/>
      <c r="D5" s="170" t="s">
        <v>2</v>
      </c>
      <c r="E5" s="171"/>
      <c r="F5" s="170" t="s">
        <v>3</v>
      </c>
      <c r="G5" s="171"/>
      <c r="H5" s="75" t="s">
        <v>131</v>
      </c>
      <c r="I5" s="75"/>
      <c r="J5" s="170" t="s">
        <v>33</v>
      </c>
      <c r="K5" s="171"/>
      <c r="L5" s="170" t="s">
        <v>37</v>
      </c>
      <c r="M5" s="171"/>
      <c r="N5" s="170" t="s">
        <v>34</v>
      </c>
      <c r="O5" s="171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7" ht="17.25">
      <c r="A7" s="31" t="s">
        <v>15</v>
      </c>
      <c r="B7" s="32">
        <v>605403</v>
      </c>
      <c r="C7" s="33">
        <f>7375.51+111070.51+3808.31+41596.51+9736.9+108232.64+5347.85+50679.79+2546.64+25349.83</f>
        <v>365744.49</v>
      </c>
      <c r="D7" s="68">
        <v>2500</v>
      </c>
      <c r="E7" s="33">
        <f>5082+177.61</f>
        <v>5259.61</v>
      </c>
      <c r="F7" s="68">
        <f>97353+110000</f>
        <v>207353</v>
      </c>
      <c r="G7" s="33">
        <f>1025.32+9545.55</f>
        <v>10570.869999999999</v>
      </c>
      <c r="H7" s="68">
        <v>0</v>
      </c>
      <c r="I7" s="33">
        <v>0</v>
      </c>
      <c r="J7" s="68">
        <f>4070+80000</f>
        <v>84070</v>
      </c>
      <c r="K7" s="33">
        <f>6299.29+204.01+171.75</f>
        <v>6675.05</v>
      </c>
      <c r="L7" s="68">
        <v>0</v>
      </c>
      <c r="M7" s="33">
        <v>0</v>
      </c>
      <c r="N7" s="68">
        <f>306720+438000</f>
        <v>744720</v>
      </c>
      <c r="O7" s="33">
        <v>90756.01</v>
      </c>
      <c r="P7" s="34">
        <f>+C7+E7+G7+K7+O7+I7</f>
        <v>479006.02999999997</v>
      </c>
      <c r="Q7" s="34">
        <f aca="true" t="shared" si="0" ref="Q7:Q13">+B7+D7+F7+J7+N7+H7-P7</f>
        <v>1165039.97</v>
      </c>
    </row>
    <row r="8" spans="1:17" ht="17.25">
      <c r="A8" s="31" t="s">
        <v>6</v>
      </c>
      <c r="B8" s="32">
        <v>218528</v>
      </c>
      <c r="C8" s="33">
        <f>16090.86+176905.8+5072.15+55108.98</f>
        <v>253177.78999999998</v>
      </c>
      <c r="D8" s="68">
        <v>1000</v>
      </c>
      <c r="E8" s="33">
        <f>65+37.54</f>
        <v>102.53999999999999</v>
      </c>
      <c r="F8" s="68">
        <v>1130050</v>
      </c>
      <c r="G8" s="33">
        <f>10902.8+784413.04+399.8</f>
        <v>795715.6400000001</v>
      </c>
      <c r="H8" s="68">
        <v>0</v>
      </c>
      <c r="I8" s="33">
        <v>0</v>
      </c>
      <c r="J8" s="68">
        <v>0</v>
      </c>
      <c r="K8" s="33">
        <f>4555+415</f>
        <v>4970</v>
      </c>
      <c r="L8" s="68">
        <v>0</v>
      </c>
      <c r="M8" s="33">
        <v>0</v>
      </c>
      <c r="N8" s="68">
        <v>0</v>
      </c>
      <c r="O8" s="33">
        <v>13821.76</v>
      </c>
      <c r="P8" s="34">
        <f>+C8+E8+G8+K8+O8+I8</f>
        <v>1067787.7300000002</v>
      </c>
      <c r="Q8" s="34">
        <f t="shared" si="0"/>
        <v>281790.2699999998</v>
      </c>
    </row>
    <row r="9" spans="1:17" ht="17.25">
      <c r="A9" s="31" t="s">
        <v>103</v>
      </c>
      <c r="B9" s="32">
        <v>812169</v>
      </c>
      <c r="C9" s="33">
        <f>35598.66+363864.38+9305.62+104810.95+2682.78+30106.72+7080.69+73170.65</f>
        <v>626620.4500000001</v>
      </c>
      <c r="D9" s="68">
        <v>5000</v>
      </c>
      <c r="E9" s="33">
        <v>11429.78</v>
      </c>
      <c r="F9" s="68">
        <f>60931+105000</f>
        <v>165931</v>
      </c>
      <c r="G9" s="33">
        <f>1150+28041.44</f>
        <v>29191.44</v>
      </c>
      <c r="H9" s="68">
        <v>0</v>
      </c>
      <c r="I9" s="33">
        <v>0</v>
      </c>
      <c r="J9" s="68">
        <v>16000</v>
      </c>
      <c r="K9" s="33">
        <f>13255.42+18710.13</f>
        <v>31965.550000000003</v>
      </c>
      <c r="L9" s="68">
        <v>0</v>
      </c>
      <c r="M9" s="33">
        <v>0</v>
      </c>
      <c r="N9" s="68">
        <v>0</v>
      </c>
      <c r="O9" s="33">
        <v>44125.13</v>
      </c>
      <c r="P9" s="34">
        <f>+C9+E9+G9+K9+O9+I9</f>
        <v>743332.3500000001</v>
      </c>
      <c r="Q9" s="34">
        <f t="shared" si="0"/>
        <v>255767.6499999999</v>
      </c>
    </row>
    <row r="10" spans="1:17" ht="17.25">
      <c r="A10" s="31" t="s">
        <v>7</v>
      </c>
      <c r="B10" s="32">
        <v>352266</v>
      </c>
      <c r="C10" s="33">
        <f>18868.53+198188.56+191.2+2565.97+1786.85+13893.47</f>
        <v>235494.58000000002</v>
      </c>
      <c r="D10" s="68">
        <v>6720</v>
      </c>
      <c r="E10" s="33">
        <f>710.93+21385.44</f>
        <v>22096.37</v>
      </c>
      <c r="F10" s="68">
        <v>3500</v>
      </c>
      <c r="G10" s="33">
        <f>300+4998.78</f>
        <v>5298.78</v>
      </c>
      <c r="H10" s="68">
        <v>0</v>
      </c>
      <c r="I10" s="33">
        <v>0</v>
      </c>
      <c r="J10" s="68">
        <v>0</v>
      </c>
      <c r="K10" s="33">
        <v>1046.04</v>
      </c>
      <c r="L10" s="68">
        <v>0</v>
      </c>
      <c r="M10" s="33">
        <v>173.94</v>
      </c>
      <c r="N10" s="68">
        <v>0</v>
      </c>
      <c r="O10" s="33">
        <v>12716.21</v>
      </c>
      <c r="P10" s="34">
        <f>+C10+E10+G10+K10+O10+I10+M10</f>
        <v>276825.92000000004</v>
      </c>
      <c r="Q10" s="34">
        <f t="shared" si="0"/>
        <v>85660.07999999996</v>
      </c>
    </row>
    <row r="11" spans="1:17" ht="17.25">
      <c r="A11" s="31" t="s">
        <v>9</v>
      </c>
      <c r="B11" s="32">
        <v>674011</v>
      </c>
      <c r="C11" s="33">
        <f>37876.14+376580.54</f>
        <v>414456.68</v>
      </c>
      <c r="D11" s="68">
        <v>0</v>
      </c>
      <c r="E11" s="33">
        <f>1584.8+2528.79</f>
        <v>4113.59</v>
      </c>
      <c r="F11" s="68">
        <f>116833+70000</f>
        <v>186833</v>
      </c>
      <c r="G11" s="33">
        <f>1393.9+196000.42</f>
        <v>197394.32</v>
      </c>
      <c r="H11" s="68">
        <v>0</v>
      </c>
      <c r="I11" s="33">
        <v>0</v>
      </c>
      <c r="J11" s="68">
        <v>0</v>
      </c>
      <c r="K11" s="33">
        <f>1365.01+691.35</f>
        <v>2056.36</v>
      </c>
      <c r="L11" s="68">
        <v>0</v>
      </c>
      <c r="M11" s="33">
        <v>30125.11</v>
      </c>
      <c r="N11" s="68">
        <v>0</v>
      </c>
      <c r="O11" s="33">
        <v>20206.19</v>
      </c>
      <c r="P11" s="34">
        <f>+C11+E11+G11+K11+O11+I11+M11</f>
        <v>668352.25</v>
      </c>
      <c r="Q11" s="34">
        <f t="shared" si="0"/>
        <v>192491.75</v>
      </c>
    </row>
    <row r="12" spans="1:17" ht="17.25">
      <c r="A12" s="31" t="s">
        <v>8</v>
      </c>
      <c r="B12" s="32">
        <v>675785</v>
      </c>
      <c r="C12" s="33">
        <f>39956.89+327138.26+2799.01+30414.56+4901.46+44834.83</f>
        <v>450045.01000000007</v>
      </c>
      <c r="D12" s="68">
        <f>254360+400000</f>
        <v>654360</v>
      </c>
      <c r="E12" s="33">
        <f>49188.97+198818.98</f>
        <v>248007.95</v>
      </c>
      <c r="F12" s="68">
        <v>42574</v>
      </c>
      <c r="G12" s="33">
        <f>1060+130271.37</f>
        <v>131331.37</v>
      </c>
      <c r="H12" s="68">
        <v>0</v>
      </c>
      <c r="I12" s="33">
        <v>244</v>
      </c>
      <c r="J12" s="68">
        <v>0</v>
      </c>
      <c r="K12" s="33">
        <v>2085.9</v>
      </c>
      <c r="L12" s="68">
        <v>0</v>
      </c>
      <c r="M12" s="33">
        <v>0</v>
      </c>
      <c r="N12" s="68">
        <v>0</v>
      </c>
      <c r="O12" s="33">
        <v>55720.48</v>
      </c>
      <c r="P12" s="34">
        <f>+C12+E12+G12+K12+O12+I12+M12</f>
        <v>887434.7100000001</v>
      </c>
      <c r="Q12" s="34">
        <f t="shared" si="0"/>
        <v>485284.2899999999</v>
      </c>
    </row>
    <row r="13" spans="1:17" ht="17.25">
      <c r="A13" s="31" t="s">
        <v>10</v>
      </c>
      <c r="B13" s="32">
        <v>140718</v>
      </c>
      <c r="C13" s="33">
        <f>8393.94+93445.67</f>
        <v>101839.61</v>
      </c>
      <c r="D13" s="68">
        <v>500</v>
      </c>
      <c r="E13" s="33">
        <v>748.47</v>
      </c>
      <c r="F13" s="68">
        <v>10300</v>
      </c>
      <c r="G13" s="33">
        <v>10614.77</v>
      </c>
      <c r="H13" s="68">
        <v>0</v>
      </c>
      <c r="I13" s="33">
        <v>0</v>
      </c>
      <c r="J13" s="68">
        <v>0</v>
      </c>
      <c r="K13" s="33">
        <f>166+691.85</f>
        <v>857.85</v>
      </c>
      <c r="L13" s="68">
        <v>0</v>
      </c>
      <c r="M13" s="33">
        <v>110</v>
      </c>
      <c r="N13" s="68">
        <v>0</v>
      </c>
      <c r="O13" s="33">
        <v>3600.1</v>
      </c>
      <c r="P13" s="34">
        <f>+C13+E13+G13+K13+O13+I13+M13</f>
        <v>117770.80000000002</v>
      </c>
      <c r="Q13" s="34">
        <f t="shared" si="0"/>
        <v>33747.19999999998</v>
      </c>
    </row>
    <row r="14" spans="1:18" ht="18" thickBot="1">
      <c r="A14" s="38" t="s">
        <v>11</v>
      </c>
      <c r="B14" s="39">
        <f aca="true" t="shared" si="1" ref="B14:Q14">SUM(B7:B13)</f>
        <v>3478880</v>
      </c>
      <c r="C14" s="40">
        <f t="shared" si="1"/>
        <v>2447378.61</v>
      </c>
      <c r="D14" s="39">
        <f t="shared" si="1"/>
        <v>670080</v>
      </c>
      <c r="E14" s="40">
        <f t="shared" si="1"/>
        <v>291758.31</v>
      </c>
      <c r="F14" s="77">
        <f t="shared" si="1"/>
        <v>1746541</v>
      </c>
      <c r="G14" s="40">
        <f t="shared" si="1"/>
        <v>1180117.19</v>
      </c>
      <c r="H14" s="77">
        <f t="shared" si="1"/>
        <v>0</v>
      </c>
      <c r="I14" s="40">
        <f t="shared" si="1"/>
        <v>244</v>
      </c>
      <c r="J14" s="39">
        <f t="shared" si="1"/>
        <v>100070</v>
      </c>
      <c r="K14" s="40">
        <f t="shared" si="1"/>
        <v>49656.75000000001</v>
      </c>
      <c r="L14" s="39">
        <f>SUM(L7:L13)</f>
        <v>0</v>
      </c>
      <c r="M14" s="40">
        <f>SUM(M7:M13)</f>
        <v>30409.05</v>
      </c>
      <c r="N14" s="39">
        <f t="shared" si="1"/>
        <v>744720</v>
      </c>
      <c r="O14" s="40">
        <f t="shared" si="1"/>
        <v>240945.88</v>
      </c>
      <c r="P14" s="42">
        <f t="shared" si="1"/>
        <v>4240509.79</v>
      </c>
      <c r="Q14" s="42">
        <f t="shared" si="1"/>
        <v>2499781.21</v>
      </c>
      <c r="R14" s="5"/>
    </row>
    <row r="15" spans="1:17" ht="17.25" thickBot="1">
      <c r="A15" s="43" t="s">
        <v>31</v>
      </c>
      <c r="B15" s="44"/>
      <c r="C15" s="143">
        <f>+C14/B14</f>
        <v>0.7034961280642046</v>
      </c>
      <c r="D15" s="143"/>
      <c r="E15" s="143">
        <f>+E14/D14</f>
        <v>0.43540817514326646</v>
      </c>
      <c r="F15" s="143"/>
      <c r="G15" s="143">
        <f>+G14/F14</f>
        <v>0.6756882260422171</v>
      </c>
      <c r="H15" s="45"/>
      <c r="I15" s="45"/>
      <c r="J15" s="45"/>
      <c r="K15" s="143">
        <f>+K14/J14</f>
        <v>0.49622014589787156</v>
      </c>
      <c r="L15" s="47"/>
      <c r="M15" s="47"/>
      <c r="N15" s="47"/>
      <c r="O15" s="145">
        <f>+O14/N14</f>
        <v>0.3235388870985068</v>
      </c>
      <c r="P15" s="58"/>
      <c r="Q15" s="5"/>
    </row>
    <row r="16" spans="1:17" ht="16.5">
      <c r="A16" s="49"/>
      <c r="B16" s="4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144"/>
      <c r="Q16" s="5"/>
    </row>
    <row r="17" ht="16.5">
      <c r="P17" s="52"/>
    </row>
    <row r="39" spans="1:6" ht="16.5">
      <c r="A39" s="53"/>
      <c r="B39" s="53"/>
      <c r="C39" s="53"/>
      <c r="D39" s="53"/>
      <c r="E39" s="53"/>
      <c r="F39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8" spans="1:4" ht="16.5">
      <c r="A48" s="62" t="s">
        <v>27</v>
      </c>
      <c r="B48" s="62" t="s">
        <v>28</v>
      </c>
      <c r="C48" s="62" t="s">
        <v>29</v>
      </c>
      <c r="D48" s="5"/>
    </row>
    <row r="49" spans="1:3" ht="16.5">
      <c r="A49" s="1">
        <f>+B14</f>
        <v>3478880</v>
      </c>
      <c r="B49" s="52">
        <f>+C14</f>
        <v>2447378.61</v>
      </c>
      <c r="C49" s="62" t="s">
        <v>1</v>
      </c>
    </row>
    <row r="50" spans="1:3" ht="16.5">
      <c r="A50" s="1">
        <f>+D14</f>
        <v>670080</v>
      </c>
      <c r="B50" s="52">
        <f>+E14</f>
        <v>291758.31</v>
      </c>
      <c r="C50" s="62" t="s">
        <v>2</v>
      </c>
    </row>
    <row r="51" spans="1:3" ht="16.5">
      <c r="A51" s="1">
        <f>+F14</f>
        <v>1746541</v>
      </c>
      <c r="B51" s="52">
        <f>+G14</f>
        <v>1180117.19</v>
      </c>
      <c r="C51" s="62" t="s">
        <v>3</v>
      </c>
    </row>
    <row r="52" spans="1:3" ht="16.5" hidden="1">
      <c r="A52" s="78">
        <f>+H14</f>
        <v>0</v>
      </c>
      <c r="B52" s="52">
        <f>+I14</f>
        <v>244</v>
      </c>
      <c r="C52" s="62" t="s">
        <v>35</v>
      </c>
    </row>
    <row r="53" spans="1:3" ht="16.5">
      <c r="A53" s="1">
        <f>+J14</f>
        <v>100070</v>
      </c>
      <c r="B53" s="5">
        <f>+K14</f>
        <v>49656.75000000001</v>
      </c>
      <c r="C53" s="62" t="s">
        <v>33</v>
      </c>
    </row>
    <row r="54" spans="1:3" ht="16.5">
      <c r="A54" s="1">
        <v>0</v>
      </c>
      <c r="B54" s="5">
        <f>+M14</f>
        <v>30409.05</v>
      </c>
      <c r="C54" s="62" t="s">
        <v>104</v>
      </c>
    </row>
    <row r="55" spans="1:3" ht="17.25">
      <c r="A55" s="1">
        <f>+N14</f>
        <v>744720</v>
      </c>
      <c r="B55" s="65">
        <f>+O14</f>
        <v>240945.88</v>
      </c>
      <c r="C55" s="62" t="s">
        <v>36</v>
      </c>
    </row>
    <row r="56" ht="16.5">
      <c r="C56" s="63"/>
    </row>
    <row r="57" spans="1:3" ht="17.25">
      <c r="A57" s="1">
        <v>2487582</v>
      </c>
      <c r="B57" s="65">
        <v>786542.11</v>
      </c>
      <c r="C57" s="63"/>
    </row>
    <row r="58" ht="16.5">
      <c r="C58" s="63"/>
    </row>
    <row r="59" ht="16.5">
      <c r="C59" s="63"/>
    </row>
    <row r="60" ht="16.5">
      <c r="C60" s="63"/>
    </row>
    <row r="61" ht="16.5">
      <c r="C61" s="63"/>
    </row>
    <row r="62" ht="16.5">
      <c r="C62" s="63"/>
    </row>
    <row r="63" ht="16.5">
      <c r="C63" s="63"/>
    </row>
  </sheetData>
  <mergeCells count="9">
    <mergeCell ref="L2:M2"/>
    <mergeCell ref="B2:F2"/>
    <mergeCell ref="B3:E3"/>
    <mergeCell ref="J5:K5"/>
    <mergeCell ref="N5:O5"/>
    <mergeCell ref="B5:C5"/>
    <mergeCell ref="D5:E5"/>
    <mergeCell ref="F5:G5"/>
    <mergeCell ref="L5:M5"/>
  </mergeCells>
  <printOptions/>
  <pageMargins left="0.84" right="0.63" top="0.78" bottom="0.5" header="0.42" footer="0"/>
  <pageSetup horizontalDpi="600" verticalDpi="600" orientation="landscape" paperSize="5" r:id="rId2"/>
  <headerFooter alignWithMargins="0">
    <oddHeader>&amp;R&amp;"Palatino Linotype,Normal"&amp;10CONTADURIA MUNICIPA&amp;"Gill Sans MT Shadow,Normal"L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7"/>
  <sheetViews>
    <sheetView workbookViewId="0" topLeftCell="E1">
      <selection activeCell="R13" sqref="R13"/>
    </sheetView>
  </sheetViews>
  <sheetFormatPr defaultColWidth="11.421875" defaultRowHeight="15"/>
  <cols>
    <col min="1" max="1" width="17.7109375" style="1" customWidth="1"/>
    <col min="2" max="2" width="9.140625" style="1" customWidth="1"/>
    <col min="3" max="3" width="12.421875" style="1" customWidth="1"/>
    <col min="4" max="4" width="7.7109375" style="1" customWidth="1"/>
    <col min="5" max="5" width="10.28125" style="1" customWidth="1"/>
    <col min="6" max="6" width="9.140625" style="1" customWidth="1"/>
    <col min="7" max="7" width="12.00390625" style="1" customWidth="1"/>
    <col min="8" max="8" width="9.140625" style="1" customWidth="1"/>
    <col min="9" max="9" width="11.8515625" style="1" customWidth="1"/>
    <col min="10" max="10" width="7.00390625" style="1" customWidth="1"/>
    <col min="11" max="11" width="9.28125" style="1" customWidth="1"/>
    <col min="12" max="12" width="7.00390625" style="1" customWidth="1"/>
    <col min="13" max="13" width="9.140625" style="1" customWidth="1"/>
    <col min="14" max="14" width="7.7109375" style="1" customWidth="1"/>
    <col min="15" max="15" width="10.140625" style="1" customWidth="1"/>
    <col min="16" max="16" width="13.00390625" style="1" customWidth="1"/>
    <col min="17" max="17" width="12.28125" style="1" customWidth="1"/>
    <col min="18" max="18" width="15.00390625" style="1" bestFit="1" customWidth="1"/>
    <col min="19" max="16384" width="11.421875" style="1" customWidth="1"/>
  </cols>
  <sheetData>
    <row r="2" spans="1:15" ht="18">
      <c r="A2" s="150" t="s">
        <v>0</v>
      </c>
      <c r="B2" s="163" t="s">
        <v>110</v>
      </c>
      <c r="C2" s="163"/>
      <c r="D2" s="168"/>
      <c r="E2" s="168"/>
      <c r="I2" s="172" t="s">
        <v>24</v>
      </c>
      <c r="J2" s="172"/>
      <c r="K2" s="157">
        <v>40422</v>
      </c>
      <c r="L2" s="122"/>
      <c r="M2" s="122"/>
      <c r="N2" s="123"/>
      <c r="O2" s="56"/>
    </row>
    <row r="3" spans="2:4" ht="16.5">
      <c r="B3" s="176"/>
      <c r="C3" s="176"/>
      <c r="D3" s="67"/>
    </row>
    <row r="4" ht="17.25" thickBot="1"/>
    <row r="5" spans="1:17" ht="17.25">
      <c r="A5" s="25"/>
      <c r="B5" s="170" t="s">
        <v>1</v>
      </c>
      <c r="C5" s="171"/>
      <c r="D5" s="170" t="s">
        <v>2</v>
      </c>
      <c r="E5" s="171"/>
      <c r="F5" s="170" t="s">
        <v>3</v>
      </c>
      <c r="G5" s="171"/>
      <c r="H5" s="170" t="s">
        <v>4</v>
      </c>
      <c r="I5" s="171"/>
      <c r="J5" s="170" t="s">
        <v>33</v>
      </c>
      <c r="K5" s="171"/>
      <c r="L5" s="170" t="s">
        <v>37</v>
      </c>
      <c r="M5" s="171"/>
      <c r="N5" s="170" t="s">
        <v>34</v>
      </c>
      <c r="O5" s="171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15</v>
      </c>
      <c r="B7" s="32">
        <v>1448146</v>
      </c>
      <c r="C7" s="33">
        <f>49577.91+555971.23+6724.81+61407.21</f>
        <v>673681.16</v>
      </c>
      <c r="D7" s="32">
        <f>23000-10000</f>
        <v>13000</v>
      </c>
      <c r="E7" s="33">
        <f>11775.46+22768.89</f>
        <v>34544.35</v>
      </c>
      <c r="F7" s="32">
        <v>464070</v>
      </c>
      <c r="G7" s="33">
        <f>19847.42+217816.71+100+6856.4</f>
        <v>244620.53</v>
      </c>
      <c r="H7" s="32">
        <f>996418+100000</f>
        <v>1096418</v>
      </c>
      <c r="I7" s="33">
        <f>101944.55+593829.14+550</f>
        <v>696323.6900000001</v>
      </c>
      <c r="J7" s="32">
        <v>25000</v>
      </c>
      <c r="K7" s="33">
        <v>14685.06</v>
      </c>
      <c r="L7" s="32">
        <v>0</v>
      </c>
      <c r="M7" s="37">
        <v>13193.66</v>
      </c>
      <c r="N7" s="32">
        <v>350000</v>
      </c>
      <c r="O7" s="33">
        <v>184556.98</v>
      </c>
      <c r="P7" s="34">
        <f>+C7+E7+G7+I7+K7+O7+M7</f>
        <v>1861605.43</v>
      </c>
      <c r="Q7" s="34">
        <f aca="true" t="shared" si="0" ref="Q7:Q12">+B7+D7+F7+H7+J7+N7-P7</f>
        <v>1535028.57</v>
      </c>
      <c r="R7" s="5"/>
    </row>
    <row r="8" spans="1:18" ht="17.25">
      <c r="A8" s="31" t="s">
        <v>76</v>
      </c>
      <c r="B8" s="32">
        <v>353044</v>
      </c>
      <c r="C8" s="33">
        <f>16570.48+195574.87</f>
        <v>212145.35</v>
      </c>
      <c r="D8" s="32">
        <f>199000-110000</f>
        <v>89000</v>
      </c>
      <c r="E8" s="33">
        <f>23110.09+74138.62</f>
        <v>97248.70999999999</v>
      </c>
      <c r="F8" s="32">
        <f>540000+180000</f>
        <v>720000</v>
      </c>
      <c r="G8" s="33">
        <f>10681.89+423003.09</f>
        <v>433684.98000000004</v>
      </c>
      <c r="H8" s="32">
        <f>3525000-130000-120000+50000+600000-1200000</f>
        <v>2725000</v>
      </c>
      <c r="I8" s="33">
        <f>225479.22+1368695.5</f>
        <v>1594174.72</v>
      </c>
      <c r="J8" s="32">
        <v>0</v>
      </c>
      <c r="K8" s="33">
        <v>620.44</v>
      </c>
      <c r="L8" s="32">
        <v>0</v>
      </c>
      <c r="M8" s="37">
        <f>905+807.58</f>
        <v>1712.58</v>
      </c>
      <c r="N8" s="32">
        <v>0</v>
      </c>
      <c r="O8" s="33">
        <v>76378.38</v>
      </c>
      <c r="P8" s="34">
        <f>+C8+E8+G8+I8+K8+O8+M8</f>
        <v>2415965.1599999997</v>
      </c>
      <c r="Q8" s="34">
        <f t="shared" si="0"/>
        <v>1471078.8400000003</v>
      </c>
      <c r="R8" s="5"/>
    </row>
    <row r="9" spans="1:18" ht="17.25">
      <c r="A9" s="31" t="s">
        <v>83</v>
      </c>
      <c r="B9" s="32">
        <v>3664393</v>
      </c>
      <c r="C9" s="33">
        <f>157701.43+1615409.29</f>
        <v>1773110.72</v>
      </c>
      <c r="D9" s="32">
        <v>0</v>
      </c>
      <c r="E9" s="33">
        <f>94+4030.92</f>
        <v>4124.92</v>
      </c>
      <c r="F9" s="32">
        <v>86000</v>
      </c>
      <c r="G9" s="33">
        <f>46663.4+458246.37</f>
        <v>504909.77</v>
      </c>
      <c r="H9" s="32">
        <f>779000+20000</f>
        <v>799000</v>
      </c>
      <c r="I9" s="33">
        <f>31842.11+753195.19</f>
        <v>785037.2999999999</v>
      </c>
      <c r="J9" s="32">
        <v>0</v>
      </c>
      <c r="K9" s="33">
        <f>4900+10078.36</f>
        <v>14978.36</v>
      </c>
      <c r="L9" s="32">
        <v>0</v>
      </c>
      <c r="M9" s="37">
        <f>960+1070.36</f>
        <v>2030.36</v>
      </c>
      <c r="N9" s="32">
        <v>0</v>
      </c>
      <c r="O9" s="33">
        <v>97398.79</v>
      </c>
      <c r="P9" s="34">
        <f>+C9+E9+G9+I9+K9+O9+M9</f>
        <v>3181590.2199999997</v>
      </c>
      <c r="Q9" s="34">
        <f t="shared" si="0"/>
        <v>1367802.7800000003</v>
      </c>
      <c r="R9" s="5"/>
    </row>
    <row r="10" spans="1:18" ht="17.25">
      <c r="A10" s="31" t="s">
        <v>125</v>
      </c>
      <c r="B10" s="32">
        <v>27130</v>
      </c>
      <c r="C10" s="33">
        <f>142135.37+1299754.55</f>
        <v>1441889.92</v>
      </c>
      <c r="D10" s="32">
        <v>6000</v>
      </c>
      <c r="E10" s="33">
        <v>277.45</v>
      </c>
      <c r="F10" s="32">
        <v>28500</v>
      </c>
      <c r="G10" s="33">
        <f>30806.3+138616.9</f>
        <v>169423.19999999998</v>
      </c>
      <c r="H10" s="32">
        <v>600000</v>
      </c>
      <c r="I10" s="33">
        <v>71.63</v>
      </c>
      <c r="J10" s="32">
        <v>0</v>
      </c>
      <c r="K10" s="33">
        <v>0</v>
      </c>
      <c r="L10" s="32">
        <v>0</v>
      </c>
      <c r="M10" s="37">
        <v>0</v>
      </c>
      <c r="N10" s="32">
        <v>0</v>
      </c>
      <c r="O10" s="33">
        <v>0</v>
      </c>
      <c r="P10" s="34">
        <f>+C10+E10+G10+I10+K10+O10+M10</f>
        <v>1611662.1999999997</v>
      </c>
      <c r="Q10" s="34">
        <f t="shared" si="0"/>
        <v>-950032.1999999997</v>
      </c>
      <c r="R10" s="5"/>
    </row>
    <row r="11" spans="1:18" ht="17.25">
      <c r="A11" s="31" t="s">
        <v>139</v>
      </c>
      <c r="B11" s="32">
        <v>572659</v>
      </c>
      <c r="C11" s="33">
        <f>46372.41+418244.64</f>
        <v>464617.05000000005</v>
      </c>
      <c r="D11" s="32">
        <v>6000</v>
      </c>
      <c r="E11" s="33">
        <f>1535.08+804.03</f>
        <v>2339.1099999999997</v>
      </c>
      <c r="F11" s="32">
        <v>29000</v>
      </c>
      <c r="G11" s="33">
        <f>16851+96359.84</f>
        <v>113210.84</v>
      </c>
      <c r="H11" s="32">
        <v>477000</v>
      </c>
      <c r="I11" s="33">
        <f>44464.03+529028.2</f>
        <v>573492.23</v>
      </c>
      <c r="J11" s="32">
        <v>0</v>
      </c>
      <c r="K11" s="33">
        <v>0</v>
      </c>
      <c r="L11" s="32">
        <v>0</v>
      </c>
      <c r="M11" s="37">
        <v>0</v>
      </c>
      <c r="N11" s="32">
        <v>0</v>
      </c>
      <c r="O11" s="33">
        <v>35645.39</v>
      </c>
      <c r="P11" s="34">
        <f>+C11+E11+G11+I11+K11+O11</f>
        <v>1189304.6199999999</v>
      </c>
      <c r="Q11" s="34">
        <f t="shared" si="0"/>
        <v>-104645.61999999988</v>
      </c>
      <c r="R11" s="5"/>
    </row>
    <row r="12" spans="1:18" ht="17.25" hidden="1">
      <c r="A12" s="31" t="s">
        <v>77</v>
      </c>
      <c r="B12" s="32"/>
      <c r="C12" s="33"/>
      <c r="D12" s="32"/>
      <c r="E12" s="33"/>
      <c r="F12" s="32"/>
      <c r="G12" s="33"/>
      <c r="H12" s="32"/>
      <c r="I12" s="33"/>
      <c r="J12" s="32"/>
      <c r="K12" s="33"/>
      <c r="L12" s="32"/>
      <c r="M12" s="37"/>
      <c r="N12" s="32">
        <v>0</v>
      </c>
      <c r="O12" s="33"/>
      <c r="P12" s="34">
        <f>+C12+E12+G12+I12+K12+O12+M12</f>
        <v>0</v>
      </c>
      <c r="Q12" s="34">
        <f t="shared" si="0"/>
        <v>0</v>
      </c>
      <c r="R12" s="5"/>
    </row>
    <row r="13" spans="1:18" ht="18" thickBot="1">
      <c r="A13" s="38" t="s">
        <v>11</v>
      </c>
      <c r="B13" s="39">
        <f aca="true" t="shared" si="1" ref="B13:Q13">SUM(B7:B12)</f>
        <v>6065372</v>
      </c>
      <c r="C13" s="40">
        <f t="shared" si="1"/>
        <v>4565444.2</v>
      </c>
      <c r="D13" s="39">
        <f t="shared" si="1"/>
        <v>114000</v>
      </c>
      <c r="E13" s="40">
        <f t="shared" si="1"/>
        <v>138534.54</v>
      </c>
      <c r="F13" s="39">
        <f t="shared" si="1"/>
        <v>1327570</v>
      </c>
      <c r="G13" s="40">
        <f t="shared" si="1"/>
        <v>1465849.32</v>
      </c>
      <c r="H13" s="39">
        <f t="shared" si="1"/>
        <v>5697418</v>
      </c>
      <c r="I13" s="40">
        <f t="shared" si="1"/>
        <v>3649099.57</v>
      </c>
      <c r="J13" s="39">
        <f t="shared" si="1"/>
        <v>25000</v>
      </c>
      <c r="K13" s="40">
        <f>SUM(K7:K12)</f>
        <v>30283.86</v>
      </c>
      <c r="L13" s="39">
        <f>SUM(L7:L12)</f>
        <v>0</v>
      </c>
      <c r="M13" s="40">
        <f>SUM(M7:M12)</f>
        <v>16936.6</v>
      </c>
      <c r="N13" s="39">
        <f t="shared" si="1"/>
        <v>350000</v>
      </c>
      <c r="O13" s="40">
        <f>SUM(O7:O12)</f>
        <v>393979.54000000004</v>
      </c>
      <c r="P13" s="42">
        <f t="shared" si="1"/>
        <v>10260127.629999999</v>
      </c>
      <c r="Q13" s="42">
        <f t="shared" si="1"/>
        <v>3319232.370000001</v>
      </c>
      <c r="R13" s="5"/>
    </row>
    <row r="14" spans="1:17" ht="17.25" thickBot="1">
      <c r="A14" s="43" t="s">
        <v>31</v>
      </c>
      <c r="B14" s="44"/>
      <c r="C14" s="143">
        <f>+C13/B13</f>
        <v>0.7527063797570867</v>
      </c>
      <c r="D14" s="45"/>
      <c r="E14" s="143">
        <f>+E13/D13</f>
        <v>1.2152152631578947</v>
      </c>
      <c r="F14" s="45"/>
      <c r="G14" s="143">
        <f>+G13/F13</f>
        <v>1.1041597203913918</v>
      </c>
      <c r="H14" s="45"/>
      <c r="I14" s="143">
        <f>+I13/H13</f>
        <v>0.6404830345956712</v>
      </c>
      <c r="J14" s="45"/>
      <c r="K14" s="143">
        <f>+K13/J13</f>
        <v>1.2113544</v>
      </c>
      <c r="L14" s="47"/>
      <c r="M14" s="47"/>
      <c r="N14" s="45"/>
      <c r="O14" s="145">
        <f>+O13/N13</f>
        <v>1.1256558285714287</v>
      </c>
      <c r="P14" s="58"/>
      <c r="Q14" s="5"/>
    </row>
    <row r="15" spans="1:16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4"/>
    </row>
    <row r="16" spans="1:16" ht="16.5">
      <c r="A16" s="49"/>
      <c r="B16" s="4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33" spans="5:8" ht="16.5">
      <c r="E33" s="59"/>
      <c r="F33" s="59"/>
      <c r="G33" s="60"/>
      <c r="H33" s="60"/>
    </row>
    <row r="34" spans="5:8" ht="16.5">
      <c r="E34" s="61"/>
      <c r="F34" s="61"/>
      <c r="G34" s="61"/>
      <c r="H34" s="61"/>
    </row>
    <row r="39" spans="1:6" ht="16.5">
      <c r="A39" s="53"/>
      <c r="B39" s="53"/>
      <c r="C39" s="53"/>
      <c r="D39" s="53"/>
      <c r="E39" s="53"/>
      <c r="F39" s="53"/>
    </row>
    <row r="40" ht="16.5">
      <c r="C40" s="48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8" spans="1:5" ht="16.5">
      <c r="A48" s="62" t="s">
        <v>27</v>
      </c>
      <c r="B48" s="62" t="s">
        <v>28</v>
      </c>
      <c r="C48" s="62" t="s">
        <v>29</v>
      </c>
      <c r="D48" s="62"/>
      <c r="E48" s="63"/>
    </row>
    <row r="49" spans="1:3" ht="17.25">
      <c r="A49" s="64">
        <f>+B13</f>
        <v>6065372</v>
      </c>
      <c r="B49" s="65">
        <f>+C13</f>
        <v>4565444.2</v>
      </c>
      <c r="C49" s="62" t="s">
        <v>1</v>
      </c>
    </row>
    <row r="50" spans="1:3" ht="17.25">
      <c r="A50" s="64">
        <f>+D13</f>
        <v>114000</v>
      </c>
      <c r="B50" s="65">
        <f>+E13</f>
        <v>138534.54</v>
      </c>
      <c r="C50" s="62" t="s">
        <v>2</v>
      </c>
    </row>
    <row r="51" spans="1:3" ht="17.25">
      <c r="A51" s="64">
        <f>+F13</f>
        <v>1327570</v>
      </c>
      <c r="B51" s="65">
        <f>+G13</f>
        <v>1465849.32</v>
      </c>
      <c r="C51" s="62" t="s">
        <v>3</v>
      </c>
    </row>
    <row r="52" spans="1:3" ht="17.25">
      <c r="A52" s="64">
        <f>+H13</f>
        <v>5697418</v>
      </c>
      <c r="B52" s="65">
        <f>+I13</f>
        <v>3649099.57</v>
      </c>
      <c r="C52" s="62" t="s">
        <v>35</v>
      </c>
    </row>
    <row r="53" spans="1:3" ht="17.25">
      <c r="A53" s="64">
        <f>+J13</f>
        <v>25000</v>
      </c>
      <c r="B53" s="65">
        <f>+K13</f>
        <v>30283.86</v>
      </c>
      <c r="C53" s="62" t="s">
        <v>33</v>
      </c>
    </row>
    <row r="54" spans="1:3" ht="17.25">
      <c r="A54" s="66">
        <f>+L13</f>
        <v>0</v>
      </c>
      <c r="B54" s="65">
        <f>+M13</f>
        <v>16936.6</v>
      </c>
      <c r="C54" s="62" t="s">
        <v>97</v>
      </c>
    </row>
    <row r="55" spans="1:3" ht="17.25">
      <c r="A55" s="64">
        <f>+N13</f>
        <v>350000</v>
      </c>
      <c r="B55" s="65">
        <f>+O13</f>
        <v>393979.54000000004</v>
      </c>
      <c r="C55" s="62" t="s">
        <v>36</v>
      </c>
    </row>
    <row r="56" spans="1:3" ht="17.25">
      <c r="A56" s="64"/>
      <c r="B56" s="64"/>
      <c r="C56" s="62"/>
    </row>
    <row r="57" spans="1:2" ht="16.5">
      <c r="A57" s="1">
        <v>2809993</v>
      </c>
      <c r="B57" s="5">
        <v>749308.3</v>
      </c>
    </row>
  </sheetData>
  <mergeCells count="10">
    <mergeCell ref="I2:J2"/>
    <mergeCell ref="B3:C3"/>
    <mergeCell ref="N5:O5"/>
    <mergeCell ref="J5:K5"/>
    <mergeCell ref="B5:C5"/>
    <mergeCell ref="D5:E5"/>
    <mergeCell ref="F5:G5"/>
    <mergeCell ref="H5:I5"/>
    <mergeCell ref="L5:M5"/>
    <mergeCell ref="B2:E2"/>
  </mergeCells>
  <printOptions/>
  <pageMargins left="0.82" right="0.54" top="0.58" bottom="0.61" header="0.31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9"/>
  <sheetViews>
    <sheetView workbookViewId="0" topLeftCell="I1">
      <selection activeCell="P14" sqref="P14"/>
    </sheetView>
  </sheetViews>
  <sheetFormatPr defaultColWidth="11.421875" defaultRowHeight="15"/>
  <cols>
    <col min="1" max="1" width="14.140625" style="1" customWidth="1"/>
    <col min="2" max="2" width="9.28125" style="1" customWidth="1"/>
    <col min="3" max="3" width="12.28125" style="1" customWidth="1"/>
    <col min="4" max="4" width="7.8515625" style="1" customWidth="1"/>
    <col min="5" max="5" width="10.28125" style="1" customWidth="1"/>
    <col min="6" max="6" width="9.00390625" style="1" customWidth="1"/>
    <col min="7" max="7" width="11.140625" style="1" customWidth="1"/>
    <col min="8" max="8" width="7.57421875" style="1" customWidth="1"/>
    <col min="9" max="9" width="9.00390625" style="1" customWidth="1"/>
    <col min="10" max="10" width="6.7109375" style="1" customWidth="1"/>
    <col min="11" max="11" width="9.140625" style="1" customWidth="1"/>
    <col min="12" max="12" width="10.57421875" style="1" customWidth="1"/>
    <col min="13" max="13" width="12.57421875" style="1" customWidth="1"/>
    <col min="14" max="14" width="9.28125" style="1" customWidth="1"/>
    <col min="15" max="15" width="10.140625" style="1" customWidth="1"/>
    <col min="16" max="16" width="12.00390625" style="1" customWidth="1"/>
    <col min="17" max="17" width="12.140625" style="1" customWidth="1"/>
    <col min="18" max="18" width="15.00390625" style="1" bestFit="1" customWidth="1"/>
    <col min="19" max="16384" width="11.421875" style="1" customWidth="1"/>
  </cols>
  <sheetData>
    <row r="2" spans="1:15" ht="18">
      <c r="A2" s="150" t="s">
        <v>0</v>
      </c>
      <c r="B2" s="163" t="s">
        <v>138</v>
      </c>
      <c r="C2" s="178"/>
      <c r="D2" s="178"/>
      <c r="E2" s="168"/>
      <c r="F2" s="168"/>
      <c r="L2" s="172" t="s">
        <v>24</v>
      </c>
      <c r="M2" s="173"/>
      <c r="N2" s="157">
        <v>40422</v>
      </c>
      <c r="O2" s="56"/>
    </row>
    <row r="3" spans="2:4" ht="16.5">
      <c r="B3" s="176"/>
      <c r="C3" s="177"/>
      <c r="D3" s="177"/>
    </row>
    <row r="4" ht="17.25" thickBot="1"/>
    <row r="5" spans="1:17" ht="17.25">
      <c r="A5" s="25"/>
      <c r="B5" s="170" t="s">
        <v>1</v>
      </c>
      <c r="C5" s="171"/>
      <c r="D5" s="170" t="s">
        <v>2</v>
      </c>
      <c r="E5" s="171"/>
      <c r="F5" s="170" t="s">
        <v>3</v>
      </c>
      <c r="G5" s="171"/>
      <c r="H5" s="170" t="s">
        <v>4</v>
      </c>
      <c r="I5" s="171"/>
      <c r="J5" s="170" t="s">
        <v>82</v>
      </c>
      <c r="K5" s="171"/>
      <c r="L5" s="170" t="s">
        <v>37</v>
      </c>
      <c r="M5" s="171"/>
      <c r="N5" s="170" t="s">
        <v>34</v>
      </c>
      <c r="O5" s="171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15</v>
      </c>
      <c r="B7" s="32">
        <v>443338</v>
      </c>
      <c r="C7" s="33">
        <f>7031.6+111804.42+3420.53+33864.28+14196.35+179398.71</f>
        <v>349715.89</v>
      </c>
      <c r="D7" s="32">
        <f>20000-10000</f>
        <v>10000</v>
      </c>
      <c r="E7" s="33">
        <f>381.16+17165.97+201.45</f>
        <v>17748.58</v>
      </c>
      <c r="F7" s="32">
        <v>177330</v>
      </c>
      <c r="G7" s="33">
        <f>25301.22+180628.87+3342.22+3442.22</f>
        <v>212714.53</v>
      </c>
      <c r="H7" s="32">
        <v>150000</v>
      </c>
      <c r="I7" s="37">
        <f>4400+550</f>
        <v>4950</v>
      </c>
      <c r="J7" s="32">
        <v>0</v>
      </c>
      <c r="K7" s="33">
        <f>2399+1037.71</f>
        <v>3436.71</v>
      </c>
      <c r="L7" s="32">
        <f>240000+650000</f>
        <v>890000</v>
      </c>
      <c r="M7" s="33">
        <f>71966.31+342999.6</f>
        <v>414965.91</v>
      </c>
      <c r="N7" s="32">
        <v>238016</v>
      </c>
      <c r="O7" s="33">
        <v>121654.75</v>
      </c>
      <c r="P7" s="34">
        <f>+O7+M7+K7+G7+E7+C7+I7</f>
        <v>1125186.3699999999</v>
      </c>
      <c r="Q7" s="34">
        <f>+B7+D7+F7+J7+L7+N7-P7+H7</f>
        <v>783497.6300000001</v>
      </c>
      <c r="R7" s="5"/>
    </row>
    <row r="8" spans="1:18" ht="17.25">
      <c r="A8" s="31" t="s">
        <v>14</v>
      </c>
      <c r="B8" s="32">
        <v>1060153</v>
      </c>
      <c r="C8" s="33">
        <f>15576.08+160901.68+26850.13+263297.52+23504.5+236181.71+2503.66+27906.49</f>
        <v>756721.77</v>
      </c>
      <c r="D8" s="32">
        <v>18000</v>
      </c>
      <c r="E8" s="33">
        <f>1713.76+7601.48</f>
        <v>9315.24</v>
      </c>
      <c r="F8" s="79">
        <v>96885</v>
      </c>
      <c r="G8" s="80">
        <f>386+124167.56</f>
        <v>124553.56</v>
      </c>
      <c r="H8" s="81">
        <v>0</v>
      </c>
      <c r="I8" s="82">
        <v>0</v>
      </c>
      <c r="J8" s="79">
        <v>0</v>
      </c>
      <c r="K8" s="80">
        <v>13708</v>
      </c>
      <c r="L8" s="83">
        <v>0</v>
      </c>
      <c r="M8" s="80">
        <f>20121+2000</f>
        <v>22121</v>
      </c>
      <c r="N8" s="83">
        <v>0</v>
      </c>
      <c r="O8" s="80">
        <v>29243.15</v>
      </c>
      <c r="P8" s="34">
        <f>+O8+M8+K8+G8+E8+C8</f>
        <v>955662.72</v>
      </c>
      <c r="Q8" s="34">
        <f>+B8+D8+F8+J8+L8+N8-P8+H8</f>
        <v>219375.28000000003</v>
      </c>
      <c r="R8" s="5"/>
    </row>
    <row r="9" spans="1:18" ht="17.25">
      <c r="A9" s="31" t="s">
        <v>13</v>
      </c>
      <c r="B9" s="32">
        <v>549411</v>
      </c>
      <c r="C9" s="33">
        <f>15771.36+166026.54+9713.65+88470.5+4276.53+47387.6</f>
        <v>331646.18000000005</v>
      </c>
      <c r="D9" s="32">
        <f>57000-5000</f>
        <v>52000</v>
      </c>
      <c r="E9" s="33">
        <f>916.74+40033.29</f>
        <v>40950.03</v>
      </c>
      <c r="F9" s="32">
        <v>232000</v>
      </c>
      <c r="G9" s="33">
        <f>2468.53+49368.53+44.19</f>
        <v>51881.25</v>
      </c>
      <c r="H9" s="32">
        <v>8000</v>
      </c>
      <c r="I9" s="37">
        <v>4000</v>
      </c>
      <c r="J9" s="32">
        <v>0</v>
      </c>
      <c r="K9" s="33">
        <v>8955.6</v>
      </c>
      <c r="L9" s="32">
        <f>2540000-250000+100000+250000+200000+700000+150000</f>
        <v>3690000</v>
      </c>
      <c r="M9" s="33">
        <f>103956.13+1194812.83+50521.06+248168.31</f>
        <v>1597458.33</v>
      </c>
      <c r="N9" s="32">
        <v>0</v>
      </c>
      <c r="O9" s="33">
        <v>62993.04</v>
      </c>
      <c r="P9" s="34">
        <f>+O9+M9+K9+G9+E9+C9+I9</f>
        <v>2097884.43</v>
      </c>
      <c r="Q9" s="34">
        <f>+B9+D9+F9+J9+L9+N9-P9+H9</f>
        <v>2433526.57</v>
      </c>
      <c r="R9" s="5"/>
    </row>
    <row r="10" spans="1:18" ht="17.25">
      <c r="A10" s="31" t="s">
        <v>81</v>
      </c>
      <c r="B10" s="32">
        <v>968740</v>
      </c>
      <c r="C10" s="33">
        <f>27559.49+280405.41+5105.45+51396.68+18133.51+180551.78+8346.89+88079.76</f>
        <v>659578.97</v>
      </c>
      <c r="D10" s="32">
        <v>93000</v>
      </c>
      <c r="E10" s="33">
        <f>6549.65+121824.31</f>
        <v>128373.95999999999</v>
      </c>
      <c r="F10" s="32">
        <f>1175000+50000</f>
        <v>1225000</v>
      </c>
      <c r="G10" s="33">
        <f>507620.09+29.04</f>
        <v>507649.13</v>
      </c>
      <c r="H10" s="32">
        <v>0</v>
      </c>
      <c r="I10" s="37">
        <v>0</v>
      </c>
      <c r="J10" s="32">
        <v>0</v>
      </c>
      <c r="K10" s="33">
        <f>5760+2764.54+368.69</f>
        <v>8893.230000000001</v>
      </c>
      <c r="L10" s="32">
        <f>3670000+250000+500000+1200000+20000</f>
        <v>5640000</v>
      </c>
      <c r="M10" s="33">
        <f>585774.93+1916034.93+77.12+2529.27</f>
        <v>2504416.25</v>
      </c>
      <c r="N10" s="32">
        <v>0</v>
      </c>
      <c r="O10" s="33">
        <v>66708.35</v>
      </c>
      <c r="P10" s="34">
        <f>+O10+M10+K10+I10+G10+E10+C10</f>
        <v>3875619.8899999997</v>
      </c>
      <c r="Q10" s="34">
        <f>+N10+L10+J10+H10+F10+D10+B10-P10</f>
        <v>4051120.1100000003</v>
      </c>
      <c r="R10" s="5"/>
    </row>
    <row r="11" spans="1:17" ht="9" customHeight="1">
      <c r="A11" s="31"/>
      <c r="B11" s="35"/>
      <c r="C11" s="33"/>
      <c r="D11" s="32"/>
      <c r="E11" s="33"/>
      <c r="F11" s="32"/>
      <c r="G11" s="33"/>
      <c r="H11" s="37"/>
      <c r="I11" s="37"/>
      <c r="J11" s="32"/>
      <c r="K11" s="33"/>
      <c r="L11" s="32"/>
      <c r="M11" s="33"/>
      <c r="N11" s="32"/>
      <c r="O11" s="33"/>
      <c r="P11" s="34"/>
      <c r="Q11" s="84"/>
    </row>
    <row r="12" spans="1:18" ht="18" thickBot="1">
      <c r="A12" s="38" t="s">
        <v>11</v>
      </c>
      <c r="B12" s="39">
        <f aca="true" t="shared" si="0" ref="B12:Q12">SUM(B7:B11)</f>
        <v>3021642</v>
      </c>
      <c r="C12" s="40">
        <f t="shared" si="0"/>
        <v>2097662.8100000005</v>
      </c>
      <c r="D12" s="39">
        <f t="shared" si="0"/>
        <v>173000</v>
      </c>
      <c r="E12" s="40">
        <f t="shared" si="0"/>
        <v>196387.81</v>
      </c>
      <c r="F12" s="39">
        <f t="shared" si="0"/>
        <v>1731215</v>
      </c>
      <c r="G12" s="40">
        <f t="shared" si="0"/>
        <v>896798.47</v>
      </c>
      <c r="H12" s="39">
        <f t="shared" si="0"/>
        <v>158000</v>
      </c>
      <c r="I12" s="41">
        <f t="shared" si="0"/>
        <v>8950</v>
      </c>
      <c r="J12" s="39">
        <f t="shared" si="0"/>
        <v>0</v>
      </c>
      <c r="K12" s="40">
        <f t="shared" si="0"/>
        <v>34993.54</v>
      </c>
      <c r="L12" s="39">
        <f t="shared" si="0"/>
        <v>10220000</v>
      </c>
      <c r="M12" s="40">
        <f t="shared" si="0"/>
        <v>4538961.49</v>
      </c>
      <c r="N12" s="39">
        <f t="shared" si="0"/>
        <v>238016</v>
      </c>
      <c r="O12" s="40">
        <f t="shared" si="0"/>
        <v>280599.29000000004</v>
      </c>
      <c r="P12" s="42">
        <f t="shared" si="0"/>
        <v>8054353.41</v>
      </c>
      <c r="Q12" s="42">
        <f t="shared" si="0"/>
        <v>7487519.59</v>
      </c>
      <c r="R12" s="5"/>
    </row>
    <row r="13" spans="1:17" ht="17.25" thickBot="1">
      <c r="A13" s="43" t="s">
        <v>31</v>
      </c>
      <c r="B13" s="44"/>
      <c r="C13" s="143">
        <f>+C12/B12</f>
        <v>0.6942128849148909</v>
      </c>
      <c r="D13" s="45"/>
      <c r="E13" s="143">
        <f>+E12/D12</f>
        <v>1.1351896531791907</v>
      </c>
      <c r="F13" s="45"/>
      <c r="G13" s="143">
        <f>+G12/F12</f>
        <v>0.518016809004081</v>
      </c>
      <c r="H13" s="45"/>
      <c r="I13" s="143">
        <f>+I12/H12</f>
        <v>0.05664556962025316</v>
      </c>
      <c r="J13" s="45"/>
      <c r="K13" s="143"/>
      <c r="L13" s="45"/>
      <c r="M13" s="143">
        <f>+M12/L12</f>
        <v>0.44412539041095894</v>
      </c>
      <c r="N13" s="47"/>
      <c r="O13" s="145">
        <f>+O12/N12</f>
        <v>1.1789093590346869</v>
      </c>
      <c r="P13" s="58"/>
      <c r="Q13" s="5"/>
    </row>
    <row r="14" spans="16:17" ht="16.5">
      <c r="P14" s="52"/>
      <c r="Q14" s="5"/>
    </row>
    <row r="15" ht="16.5">
      <c r="P15" s="5"/>
    </row>
    <row r="37" spans="1:6" ht="16.5">
      <c r="A37" s="53"/>
      <c r="B37" s="53"/>
      <c r="C37" s="53"/>
      <c r="D37" s="53"/>
      <c r="E37" s="53"/>
      <c r="F37" s="53"/>
    </row>
    <row r="39" spans="3:6" ht="17.25">
      <c r="C39" s="65"/>
      <c r="D39" s="5"/>
      <c r="E39" s="53"/>
      <c r="F39" s="53"/>
    </row>
    <row r="40" spans="3:6" ht="17.25">
      <c r="C40" s="65"/>
      <c r="D40" s="5"/>
      <c r="E40" s="53"/>
      <c r="F40" s="53"/>
    </row>
    <row r="41" spans="3:6" ht="17.25">
      <c r="C41" s="65"/>
      <c r="D41" s="5"/>
      <c r="E41" s="53"/>
      <c r="F41" s="53"/>
    </row>
    <row r="42" spans="3:6" ht="17.25">
      <c r="C42" s="65"/>
      <c r="D42" s="5"/>
      <c r="E42" s="53"/>
      <c r="F42" s="53"/>
    </row>
    <row r="43" spans="3:6" ht="17.25">
      <c r="C43" s="65"/>
      <c r="D43" s="5"/>
      <c r="E43" s="53"/>
      <c r="F43" s="53"/>
    </row>
    <row r="44" spans="3:6" ht="17.25">
      <c r="C44" s="65"/>
      <c r="D44" s="5"/>
      <c r="E44" s="53"/>
      <c r="F44" s="53"/>
    </row>
    <row r="45" ht="17.25">
      <c r="C45" s="64"/>
    </row>
    <row r="48" spans="4:5" ht="16.5">
      <c r="D48" s="62"/>
      <c r="E48" s="62"/>
    </row>
    <row r="49" spans="1:5" ht="16.5">
      <c r="A49" s="62" t="s">
        <v>27</v>
      </c>
      <c r="B49" s="62" t="s">
        <v>28</v>
      </c>
      <c r="C49" s="62" t="s">
        <v>29</v>
      </c>
      <c r="D49" s="62"/>
      <c r="E49" s="62"/>
    </row>
    <row r="50" spans="1:3" ht="17.25">
      <c r="A50" s="64">
        <f>+B12</f>
        <v>3021642</v>
      </c>
      <c r="B50" s="65">
        <f>+C12</f>
        <v>2097662.8100000005</v>
      </c>
      <c r="C50" s="62" t="s">
        <v>1</v>
      </c>
    </row>
    <row r="51" spans="1:3" ht="17.25">
      <c r="A51" s="64">
        <f>+D12</f>
        <v>173000</v>
      </c>
      <c r="B51" s="65">
        <f>+E12</f>
        <v>196387.81</v>
      </c>
      <c r="C51" s="62" t="s">
        <v>2</v>
      </c>
    </row>
    <row r="52" spans="1:3" ht="17.25">
      <c r="A52" s="64">
        <f>+F12</f>
        <v>1731215</v>
      </c>
      <c r="B52" s="65">
        <f>+G12</f>
        <v>896798.47</v>
      </c>
      <c r="C52" s="62" t="s">
        <v>3</v>
      </c>
    </row>
    <row r="53" spans="1:3" ht="17.25">
      <c r="A53" s="66">
        <f>+H12</f>
        <v>158000</v>
      </c>
      <c r="B53" s="65">
        <f>+I12</f>
        <v>8950</v>
      </c>
      <c r="C53" s="62" t="s">
        <v>35</v>
      </c>
    </row>
    <row r="54" spans="1:3" ht="17.25">
      <c r="A54" s="64">
        <f>+J12</f>
        <v>0</v>
      </c>
      <c r="B54" s="65">
        <f>+K12</f>
        <v>34993.54</v>
      </c>
      <c r="C54" s="62" t="s">
        <v>33</v>
      </c>
    </row>
    <row r="55" spans="1:3" ht="17.25">
      <c r="A55" s="64">
        <f>+L12</f>
        <v>10220000</v>
      </c>
      <c r="B55" s="65">
        <f>+M12</f>
        <v>4538961.49</v>
      </c>
      <c r="C55" s="62" t="s">
        <v>30</v>
      </c>
    </row>
    <row r="56" spans="1:3" ht="17.25">
      <c r="A56" s="64">
        <f>+N12</f>
        <v>238016</v>
      </c>
      <c r="B56" s="65">
        <f>+O12</f>
        <v>280599.29000000004</v>
      </c>
      <c r="C56" s="62" t="s">
        <v>36</v>
      </c>
    </row>
    <row r="57" spans="1:2" ht="17.25">
      <c r="A57" s="64">
        <v>2832908</v>
      </c>
      <c r="B57" s="65">
        <v>692231.2</v>
      </c>
    </row>
    <row r="58" spans="1:2" ht="17.25">
      <c r="A58" s="64"/>
      <c r="B58" s="64"/>
    </row>
    <row r="59" spans="1:2" ht="17.25">
      <c r="A59" s="64"/>
      <c r="B59" s="64"/>
    </row>
  </sheetData>
  <mergeCells count="10">
    <mergeCell ref="L2:M2"/>
    <mergeCell ref="B3:D3"/>
    <mergeCell ref="L5:M5"/>
    <mergeCell ref="N5:O5"/>
    <mergeCell ref="B5:C5"/>
    <mergeCell ref="D5:E5"/>
    <mergeCell ref="F5:G5"/>
    <mergeCell ref="J5:K5"/>
    <mergeCell ref="H5:I5"/>
    <mergeCell ref="B2:F2"/>
  </mergeCells>
  <printOptions/>
  <pageMargins left="0.8" right="0.68" top="0.81" bottom="0.5" header="0.31" footer="0"/>
  <pageSetup horizontalDpi="600" verticalDpi="600" orientation="landscape" paperSize="5" r:id="rId2"/>
  <headerFooter alignWithMargins="0">
    <oddHeader>&amp;R&amp;"Gill Sans MT Shadow,Regular"&amp;10CONTADURIA MUNICIPAL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workbookViewId="0" topLeftCell="G1">
      <selection activeCell="P15" sqref="P15"/>
    </sheetView>
  </sheetViews>
  <sheetFormatPr defaultColWidth="11.421875" defaultRowHeight="15"/>
  <cols>
    <col min="1" max="1" width="19.28125" style="1" customWidth="1"/>
    <col min="2" max="2" width="9.57421875" style="1" customWidth="1"/>
    <col min="3" max="3" width="12.28125" style="1" customWidth="1"/>
    <col min="4" max="4" width="7.8515625" style="1" customWidth="1"/>
    <col min="5" max="5" width="10.8515625" style="1" customWidth="1"/>
    <col min="6" max="6" width="9.421875" style="1" customWidth="1"/>
    <col min="7" max="7" width="12.421875" style="1" customWidth="1"/>
    <col min="8" max="8" width="7.140625" style="1" customWidth="1"/>
    <col min="9" max="9" width="9.7109375" style="1" customWidth="1"/>
    <col min="10" max="10" width="7.57421875" style="1" customWidth="1"/>
    <col min="11" max="11" width="10.00390625" style="1" customWidth="1"/>
    <col min="12" max="12" width="7.140625" style="1" customWidth="1"/>
    <col min="13" max="13" width="9.28125" style="1" customWidth="1"/>
    <col min="14" max="14" width="7.8515625" style="1" customWidth="1"/>
    <col min="15" max="15" width="10.28125" style="1" customWidth="1"/>
    <col min="16" max="16" width="12.28125" style="1" customWidth="1"/>
    <col min="17" max="17" width="12.421875" style="1" customWidth="1"/>
    <col min="18" max="18" width="13.8515625" style="1" bestFit="1" customWidth="1"/>
    <col min="19" max="16384" width="11.421875" style="1" customWidth="1"/>
  </cols>
  <sheetData>
    <row r="2" spans="1:15" ht="18">
      <c r="A2" s="150" t="s">
        <v>0</v>
      </c>
      <c r="B2" s="163" t="s">
        <v>111</v>
      </c>
      <c r="C2" s="178"/>
      <c r="D2" s="178"/>
      <c r="E2" s="178"/>
      <c r="F2" s="174"/>
      <c r="G2" s="174"/>
      <c r="H2" s="174"/>
      <c r="J2" s="21"/>
      <c r="K2" s="172" t="s">
        <v>24</v>
      </c>
      <c r="L2" s="173"/>
      <c r="M2" s="157">
        <v>40422</v>
      </c>
      <c r="O2" s="56"/>
    </row>
    <row r="3" spans="2:16" ht="16.5">
      <c r="B3" s="176"/>
      <c r="C3" s="177"/>
      <c r="D3" s="177"/>
      <c r="E3" s="177"/>
      <c r="F3" s="67"/>
      <c r="P3" s="85"/>
    </row>
    <row r="5" ht="17.25" thickBot="1"/>
    <row r="6" spans="1:17" ht="17.25">
      <c r="A6" s="25"/>
      <c r="B6" s="170" t="s">
        <v>1</v>
      </c>
      <c r="C6" s="171"/>
      <c r="D6" s="170" t="s">
        <v>2</v>
      </c>
      <c r="E6" s="171"/>
      <c r="F6" s="170" t="s">
        <v>3</v>
      </c>
      <c r="G6" s="171"/>
      <c r="H6" s="170" t="s">
        <v>4</v>
      </c>
      <c r="I6" s="171"/>
      <c r="J6" s="170" t="s">
        <v>33</v>
      </c>
      <c r="K6" s="171"/>
      <c r="L6" s="170" t="s">
        <v>37</v>
      </c>
      <c r="M6" s="171"/>
      <c r="N6" s="170" t="s">
        <v>34</v>
      </c>
      <c r="O6" s="171"/>
      <c r="P6" s="26" t="s">
        <v>5</v>
      </c>
      <c r="Q6" s="26" t="s">
        <v>39</v>
      </c>
    </row>
    <row r="7" spans="1:17" ht="17.25">
      <c r="A7" s="27"/>
      <c r="B7" s="28" t="s">
        <v>32</v>
      </c>
      <c r="C7" s="28" t="s">
        <v>38</v>
      </c>
      <c r="D7" s="28" t="s">
        <v>32</v>
      </c>
      <c r="E7" s="28" t="s">
        <v>38</v>
      </c>
      <c r="F7" s="28" t="s">
        <v>32</v>
      </c>
      <c r="G7" s="28" t="s">
        <v>38</v>
      </c>
      <c r="H7" s="28" t="s">
        <v>32</v>
      </c>
      <c r="I7" s="28" t="s">
        <v>38</v>
      </c>
      <c r="J7" s="28" t="s">
        <v>32</v>
      </c>
      <c r="K7" s="28" t="s">
        <v>38</v>
      </c>
      <c r="L7" s="28" t="s">
        <v>32</v>
      </c>
      <c r="M7" s="28" t="s">
        <v>38</v>
      </c>
      <c r="N7" s="28" t="s">
        <v>32</v>
      </c>
      <c r="O7" s="28" t="s">
        <v>38</v>
      </c>
      <c r="P7" s="29" t="s">
        <v>26</v>
      </c>
      <c r="Q7" s="30" t="s">
        <v>40</v>
      </c>
    </row>
    <row r="8" spans="1:18" ht="17.25">
      <c r="A8" s="86" t="s">
        <v>15</v>
      </c>
      <c r="B8" s="32">
        <v>454526</v>
      </c>
      <c r="C8" s="33">
        <f>22731.77+316880.9+4283.95+39258.65+1553.93+9532.82+7434.45+66002.59</f>
        <v>467679.06000000006</v>
      </c>
      <c r="D8" s="32">
        <v>26000</v>
      </c>
      <c r="E8" s="33">
        <f>2960+7343.12</f>
        <v>10303.119999999999</v>
      </c>
      <c r="F8" s="32">
        <f>802000+40000</f>
        <v>842000</v>
      </c>
      <c r="G8" s="33">
        <f>60294.59+684863.67</f>
        <v>745158.26</v>
      </c>
      <c r="H8" s="32">
        <v>10000</v>
      </c>
      <c r="I8" s="33">
        <v>0</v>
      </c>
      <c r="J8" s="32">
        <f>10000+60000+297500</f>
        <v>367500</v>
      </c>
      <c r="K8" s="33">
        <v>1331.1</v>
      </c>
      <c r="L8" s="32">
        <v>0</v>
      </c>
      <c r="M8" s="37">
        <f>132.3+713.73</f>
        <v>846.03</v>
      </c>
      <c r="N8" s="32">
        <v>250000</v>
      </c>
      <c r="O8" s="33">
        <v>145574.35</v>
      </c>
      <c r="P8" s="34">
        <f>+O8+K8+G8+E8+C8+I8+M8</f>
        <v>1370891.9200000002</v>
      </c>
      <c r="Q8" s="34">
        <f>+B8+D8+F8+H8+J8+N8-P8</f>
        <v>579134.0799999998</v>
      </c>
      <c r="R8" s="5"/>
    </row>
    <row r="9" spans="1:18" ht="17.25">
      <c r="A9" s="86" t="s">
        <v>90</v>
      </c>
      <c r="B9" s="32">
        <v>1657400</v>
      </c>
      <c r="C9" s="33">
        <f>11186.61+96044.7+51556.19+506968.75+33493.99+333519.01+29098.98+265928.88</f>
        <v>1327797.1099999999</v>
      </c>
      <c r="D9" s="32">
        <f>64720-5000</f>
        <v>59720</v>
      </c>
      <c r="E9" s="33">
        <f>4551.23+31539.64+1673.7+262.9</f>
        <v>38027.469999999994</v>
      </c>
      <c r="F9" s="32">
        <v>167300</v>
      </c>
      <c r="G9" s="33">
        <f>819.8+87661.85+396.9+1585.93+3366.84+950</f>
        <v>94781.31999999999</v>
      </c>
      <c r="H9" s="32">
        <v>0</v>
      </c>
      <c r="I9" s="33">
        <v>0</v>
      </c>
      <c r="J9" s="32">
        <v>0</v>
      </c>
      <c r="K9" s="33">
        <f>470+12952.66+122.39</f>
        <v>13545.05</v>
      </c>
      <c r="L9" s="32">
        <v>0</v>
      </c>
      <c r="M9" s="37">
        <f>2104.5+359.75</f>
        <v>2464.25</v>
      </c>
      <c r="N9" s="32">
        <v>0</v>
      </c>
      <c r="O9" s="33">
        <v>47136.96</v>
      </c>
      <c r="P9" s="34">
        <f>+O9+K9+G9+E9+C9+M9</f>
        <v>1523752.16</v>
      </c>
      <c r="Q9" s="34">
        <f>+B9+D9+F9+H9+J9+N9-P9</f>
        <v>360667.8400000001</v>
      </c>
      <c r="R9" s="5"/>
    </row>
    <row r="10" spans="1:18" ht="17.25">
      <c r="A10" s="86" t="s">
        <v>89</v>
      </c>
      <c r="B10" s="32">
        <v>1866785</v>
      </c>
      <c r="C10" s="33">
        <f>24083.09+449468.25+2895.45+31183.71+116153.13+1049541.81</f>
        <v>1673325.4400000002</v>
      </c>
      <c r="D10" s="32">
        <f>43500-5000</f>
        <v>38500</v>
      </c>
      <c r="E10" s="33">
        <f>2188+34377.79+1096</f>
        <v>37661.79</v>
      </c>
      <c r="F10" s="32">
        <f>345500+70000</f>
        <v>415500</v>
      </c>
      <c r="G10" s="33">
        <f>21171.34+899803.8+2606.66+48656.18</f>
        <v>972237.9800000001</v>
      </c>
      <c r="H10" s="32">
        <v>0</v>
      </c>
      <c r="I10" s="33">
        <v>1336.91</v>
      </c>
      <c r="J10" s="32">
        <v>12500</v>
      </c>
      <c r="K10" s="33">
        <f>6778.28+122.39</f>
        <v>6900.67</v>
      </c>
      <c r="L10" s="32">
        <v>0</v>
      </c>
      <c r="M10" s="37">
        <v>0</v>
      </c>
      <c r="N10" s="32">
        <v>0</v>
      </c>
      <c r="O10" s="33">
        <v>71467.48</v>
      </c>
      <c r="P10" s="34">
        <f>+O10+K10+G10+E10+C10+M10+I10</f>
        <v>2762930.2700000005</v>
      </c>
      <c r="Q10" s="34">
        <f>+B10+D10+F10+H10+J10+N10-P10</f>
        <v>-429645.2700000005</v>
      </c>
      <c r="R10" s="5"/>
    </row>
    <row r="11" spans="1:18" ht="17.25">
      <c r="A11" s="86" t="s">
        <v>91</v>
      </c>
      <c r="B11" s="32">
        <v>2568227</v>
      </c>
      <c r="C11" s="33">
        <f>7959.62+60245.65+191284.36+1242826.61+14546.18+133272.99</f>
        <v>1650135.4100000001</v>
      </c>
      <c r="D11" s="32">
        <f>85500-5000</f>
        <v>80500</v>
      </c>
      <c r="E11" s="33">
        <f>10883.02+63289.39+1880+172.49</f>
        <v>76224.90000000001</v>
      </c>
      <c r="F11" s="32">
        <f>148000+15000</f>
        <v>163000</v>
      </c>
      <c r="G11" s="33">
        <f>9749.05+189332.22+198.54+19259.29</f>
        <v>218539.1</v>
      </c>
      <c r="H11" s="32">
        <v>0</v>
      </c>
      <c r="I11" s="33">
        <v>434.35</v>
      </c>
      <c r="J11" s="32">
        <v>22500</v>
      </c>
      <c r="K11" s="33">
        <f>1471+695+510.54+648.32</f>
        <v>3324.86</v>
      </c>
      <c r="L11" s="32">
        <v>0</v>
      </c>
      <c r="M11" s="37">
        <v>0</v>
      </c>
      <c r="N11" s="32">
        <v>0</v>
      </c>
      <c r="O11" s="33">
        <v>83259.3</v>
      </c>
      <c r="P11" s="34">
        <f>+O11+K11+G11+E11+C11+I11</f>
        <v>2031917.9200000004</v>
      </c>
      <c r="Q11" s="34">
        <f>+B11+D11+F11+H11+J11+N11+L11-P11</f>
        <v>802309.0799999996</v>
      </c>
      <c r="R11" s="5"/>
    </row>
    <row r="12" spans="1:17" ht="9" customHeight="1">
      <c r="A12" s="86"/>
      <c r="B12" s="35"/>
      <c r="C12" s="33"/>
      <c r="D12" s="35"/>
      <c r="E12" s="33"/>
      <c r="F12" s="35"/>
      <c r="G12" s="33"/>
      <c r="H12" s="35"/>
      <c r="I12" s="33"/>
      <c r="J12" s="35"/>
      <c r="K12" s="33"/>
      <c r="L12" s="37"/>
      <c r="M12" s="37"/>
      <c r="N12" s="35"/>
      <c r="O12" s="33"/>
      <c r="P12" s="34"/>
      <c r="Q12" s="34"/>
    </row>
    <row r="13" spans="1:17" ht="18" thickBot="1">
      <c r="A13" s="38" t="s">
        <v>11</v>
      </c>
      <c r="B13" s="39">
        <f aca="true" t="shared" si="0" ref="B13:Q13">SUM(B8:B12)</f>
        <v>6546938</v>
      </c>
      <c r="C13" s="40">
        <f t="shared" si="0"/>
        <v>5118937.0200000005</v>
      </c>
      <c r="D13" s="39">
        <f t="shared" si="0"/>
        <v>204720</v>
      </c>
      <c r="E13" s="40">
        <f t="shared" si="0"/>
        <v>162217.28000000003</v>
      </c>
      <c r="F13" s="39">
        <f t="shared" si="0"/>
        <v>1587800</v>
      </c>
      <c r="G13" s="40">
        <f t="shared" si="0"/>
        <v>2030716.6600000001</v>
      </c>
      <c r="H13" s="39">
        <f t="shared" si="0"/>
        <v>10000</v>
      </c>
      <c r="I13" s="40">
        <f t="shared" si="0"/>
        <v>1771.2600000000002</v>
      </c>
      <c r="J13" s="39">
        <f t="shared" si="0"/>
        <v>402500</v>
      </c>
      <c r="K13" s="40">
        <f t="shared" si="0"/>
        <v>25101.68</v>
      </c>
      <c r="L13" s="39">
        <f>SUM(L8:L12)</f>
        <v>0</v>
      </c>
      <c r="M13" s="40">
        <f>SUM(M8:M12)</f>
        <v>3310.2799999999997</v>
      </c>
      <c r="N13" s="39">
        <f t="shared" si="0"/>
        <v>250000</v>
      </c>
      <c r="O13" s="40">
        <f t="shared" si="0"/>
        <v>347438.08999999997</v>
      </c>
      <c r="P13" s="87">
        <f t="shared" si="0"/>
        <v>7689492.270000001</v>
      </c>
      <c r="Q13" s="160">
        <f t="shared" si="0"/>
        <v>1312465.729999999</v>
      </c>
    </row>
    <row r="14" spans="1:17" ht="17.25" thickBot="1">
      <c r="A14" s="38" t="s">
        <v>31</v>
      </c>
      <c r="B14" s="88"/>
      <c r="C14" s="93">
        <f>+C13/B13</f>
        <v>0.7818826174923301</v>
      </c>
      <c r="D14" s="89"/>
      <c r="E14" s="93">
        <f>+E13/D13</f>
        <v>0.7923860883157485</v>
      </c>
      <c r="F14" s="89"/>
      <c r="G14" s="93">
        <f>+G13/F13</f>
        <v>1.2789499055296638</v>
      </c>
      <c r="H14" s="89"/>
      <c r="I14" s="93">
        <f>+I13/H13</f>
        <v>0.17712600000000003</v>
      </c>
      <c r="J14" s="89"/>
      <c r="K14" s="93">
        <f>+K13/J13</f>
        <v>0.062364422360248445</v>
      </c>
      <c r="L14" s="90"/>
      <c r="M14" s="47"/>
      <c r="N14" s="45"/>
      <c r="O14" s="145">
        <f>+O13/N13</f>
        <v>1.38975236</v>
      </c>
      <c r="P14" s="58"/>
      <c r="Q14" s="5"/>
    </row>
    <row r="15" spans="1:17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4"/>
      <c r="Q15" s="78"/>
    </row>
    <row r="16" ht="16.5">
      <c r="P16" s="52"/>
    </row>
    <row r="18" ht="16.5">
      <c r="Q18" s="5"/>
    </row>
    <row r="41" spans="1:6" ht="16.5">
      <c r="A41" s="53"/>
      <c r="B41" s="53"/>
      <c r="C41" s="53"/>
      <c r="D41" s="53"/>
      <c r="E41" s="53"/>
      <c r="F41" s="53"/>
    </row>
    <row r="43" spans="3:6" ht="16.5">
      <c r="C43" s="52"/>
      <c r="D43" s="5"/>
      <c r="E43" s="53"/>
      <c r="F43" s="53"/>
    </row>
    <row r="44" spans="4:6" ht="16.5">
      <c r="D44" s="5"/>
      <c r="F44" s="53"/>
    </row>
    <row r="45" spans="1:6" ht="16.5">
      <c r="A45" s="62" t="s">
        <v>27</v>
      </c>
      <c r="B45" s="71" t="s">
        <v>28</v>
      </c>
      <c r="C45" s="91" t="s">
        <v>29</v>
      </c>
      <c r="D45" s="5"/>
      <c r="F45" s="53"/>
    </row>
    <row r="46" spans="1:6" ht="17.25">
      <c r="A46" s="64">
        <f>+B13</f>
        <v>6546938</v>
      </c>
      <c r="B46" s="65">
        <f>+C13</f>
        <v>5118937.0200000005</v>
      </c>
      <c r="C46" s="91" t="s">
        <v>1</v>
      </c>
      <c r="D46" s="5"/>
      <c r="F46" s="53"/>
    </row>
    <row r="47" spans="1:6" ht="17.25">
      <c r="A47" s="64">
        <f>+D13</f>
        <v>204720</v>
      </c>
      <c r="B47" s="65">
        <f>+E13</f>
        <v>162217.28000000003</v>
      </c>
      <c r="C47" s="91" t="s">
        <v>2</v>
      </c>
      <c r="D47" s="5"/>
      <c r="F47" s="53"/>
    </row>
    <row r="48" spans="1:6" ht="17.25">
      <c r="A48" s="64">
        <f>+F13</f>
        <v>1587800</v>
      </c>
      <c r="B48" s="65">
        <f>+G13</f>
        <v>2030716.6600000001</v>
      </c>
      <c r="C48" s="91" t="s">
        <v>3</v>
      </c>
      <c r="D48" s="5"/>
      <c r="F48" s="53"/>
    </row>
    <row r="49" spans="1:6" ht="17.25">
      <c r="A49" s="66">
        <f>+H13</f>
        <v>10000</v>
      </c>
      <c r="B49" s="65">
        <f>+I13</f>
        <v>1771.2600000000002</v>
      </c>
      <c r="C49" s="92" t="s">
        <v>35</v>
      </c>
      <c r="D49" s="5"/>
      <c r="F49" s="53"/>
    </row>
    <row r="50" spans="1:3" ht="17.25">
      <c r="A50" s="64">
        <f>+J13</f>
        <v>402500</v>
      </c>
      <c r="B50" s="65">
        <f>+K13</f>
        <v>25101.68</v>
      </c>
      <c r="C50" s="62" t="s">
        <v>33</v>
      </c>
    </row>
    <row r="51" spans="1:3" ht="17.25">
      <c r="A51" s="66">
        <f>+L13</f>
        <v>0</v>
      </c>
      <c r="B51" s="65">
        <f>+M13</f>
        <v>3310.2799999999997</v>
      </c>
      <c r="C51" s="62" t="s">
        <v>102</v>
      </c>
    </row>
    <row r="52" spans="1:3" ht="17.25">
      <c r="A52" s="64">
        <f>+N13</f>
        <v>250000</v>
      </c>
      <c r="B52" s="65">
        <f>+O13</f>
        <v>347438.08999999997</v>
      </c>
      <c r="C52" s="62" t="s">
        <v>36</v>
      </c>
    </row>
    <row r="53" spans="2:3" ht="16.5">
      <c r="B53" s="48"/>
      <c r="C53" s="62"/>
    </row>
    <row r="54" spans="1:2" ht="16.5">
      <c r="A54" s="1">
        <v>2161994.87</v>
      </c>
      <c r="B54" s="52">
        <v>623381.8</v>
      </c>
    </row>
  </sheetData>
  <mergeCells count="10">
    <mergeCell ref="K2:L2"/>
    <mergeCell ref="B3:E3"/>
    <mergeCell ref="N6:O6"/>
    <mergeCell ref="J6:K6"/>
    <mergeCell ref="B6:C6"/>
    <mergeCell ref="D6:E6"/>
    <mergeCell ref="F6:G6"/>
    <mergeCell ref="H6:I6"/>
    <mergeCell ref="L6:M6"/>
    <mergeCell ref="B2:H2"/>
  </mergeCells>
  <printOptions/>
  <pageMargins left="0.78" right="0.57" top="0.72" bottom="1" header="0.39" footer="0"/>
  <pageSetup horizontalDpi="600" verticalDpi="600" orientation="landscape" paperSize="5" r:id="rId2"/>
  <headerFooter alignWithMargins="0">
    <oddHeader>&amp;R&amp;"Gill Sans MT Shadow,Regular"&amp;10CONTADURIA MUNICIPAL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H1">
      <selection activeCell="P14" sqref="P14"/>
    </sheetView>
  </sheetViews>
  <sheetFormatPr defaultColWidth="11.421875" defaultRowHeight="15"/>
  <cols>
    <col min="1" max="1" width="21.00390625" style="1" customWidth="1"/>
    <col min="2" max="2" width="8.00390625" style="1" customWidth="1"/>
    <col min="3" max="3" width="10.57421875" style="1" customWidth="1"/>
    <col min="4" max="4" width="7.00390625" style="1" customWidth="1"/>
    <col min="5" max="5" width="8.7109375" style="1" customWidth="1"/>
    <col min="6" max="6" width="7.421875" style="1" customWidth="1"/>
    <col min="7" max="7" width="9.57421875" style="1" customWidth="1"/>
    <col min="8" max="8" width="7.00390625" style="1" customWidth="1"/>
    <col min="9" max="9" width="10.57421875" style="1" customWidth="1"/>
    <col min="10" max="10" width="6.421875" style="1" customWidth="1"/>
    <col min="11" max="11" width="9.421875" style="1" customWidth="1"/>
    <col min="12" max="12" width="6.8515625" style="1" customWidth="1"/>
    <col min="13" max="13" width="8.7109375" style="1" customWidth="1"/>
    <col min="14" max="14" width="7.28125" style="1" customWidth="1"/>
    <col min="15" max="15" width="10.140625" style="1" customWidth="1"/>
    <col min="16" max="16" width="10.421875" style="1" customWidth="1"/>
    <col min="17" max="17" width="10.28125" style="1" customWidth="1"/>
    <col min="18" max="18" width="13.8515625" style="1" bestFit="1" customWidth="1"/>
    <col min="19" max="16384" width="11.421875" style="1" customWidth="1"/>
  </cols>
  <sheetData>
    <row r="2" spans="1:15" ht="18">
      <c r="A2" s="150" t="s">
        <v>0</v>
      </c>
      <c r="B2" s="163" t="s">
        <v>112</v>
      </c>
      <c r="C2" s="163"/>
      <c r="D2" s="168"/>
      <c r="E2" s="168"/>
      <c r="I2" s="172" t="s">
        <v>24</v>
      </c>
      <c r="J2" s="172"/>
      <c r="K2" s="157">
        <v>40422</v>
      </c>
      <c r="L2" s="125"/>
      <c r="M2" s="125"/>
      <c r="O2" s="23"/>
    </row>
    <row r="3" spans="2:3" ht="16.5">
      <c r="B3" s="176"/>
      <c r="C3" s="176"/>
    </row>
    <row r="5" ht="17.25" thickBot="1"/>
    <row r="6" spans="1:17" ht="17.25">
      <c r="A6" s="25"/>
      <c r="B6" s="170" t="s">
        <v>1</v>
      </c>
      <c r="C6" s="171"/>
      <c r="D6" s="170" t="s">
        <v>2</v>
      </c>
      <c r="E6" s="171"/>
      <c r="F6" s="170" t="s">
        <v>3</v>
      </c>
      <c r="G6" s="171"/>
      <c r="H6" s="170" t="s">
        <v>4</v>
      </c>
      <c r="I6" s="171"/>
      <c r="J6" s="170" t="s">
        <v>33</v>
      </c>
      <c r="K6" s="171"/>
      <c r="L6" s="127" t="s">
        <v>37</v>
      </c>
      <c r="M6" s="75"/>
      <c r="N6" s="170" t="s">
        <v>34</v>
      </c>
      <c r="O6" s="171"/>
      <c r="P6" s="26" t="s">
        <v>5</v>
      </c>
      <c r="Q6" s="26" t="s">
        <v>39</v>
      </c>
    </row>
    <row r="7" spans="1:17" ht="17.25">
      <c r="A7" s="27"/>
      <c r="B7" s="28" t="s">
        <v>32</v>
      </c>
      <c r="C7" s="28" t="s">
        <v>38</v>
      </c>
      <c r="D7" s="28" t="s">
        <v>32</v>
      </c>
      <c r="E7" s="28" t="s">
        <v>38</v>
      </c>
      <c r="F7" s="28" t="s">
        <v>32</v>
      </c>
      <c r="G7" s="28" t="s">
        <v>38</v>
      </c>
      <c r="H7" s="28" t="s">
        <v>32</v>
      </c>
      <c r="I7" s="28" t="s">
        <v>38</v>
      </c>
      <c r="J7" s="28" t="s">
        <v>32</v>
      </c>
      <c r="K7" s="28" t="s">
        <v>38</v>
      </c>
      <c r="L7" s="28" t="s">
        <v>32</v>
      </c>
      <c r="M7" s="28" t="s">
        <v>38</v>
      </c>
      <c r="N7" s="28" t="s">
        <v>32</v>
      </c>
      <c r="O7" s="28" t="s">
        <v>38</v>
      </c>
      <c r="P7" s="29" t="s">
        <v>26</v>
      </c>
      <c r="Q7" s="30" t="s">
        <v>40</v>
      </c>
    </row>
    <row r="8" spans="1:17" ht="17.25">
      <c r="A8" s="31" t="s">
        <v>98</v>
      </c>
      <c r="B8" s="32">
        <v>687883</v>
      </c>
      <c r="C8" s="33">
        <f>59204.66+465376.14</f>
        <v>524580.8</v>
      </c>
      <c r="D8" s="68">
        <v>58500</v>
      </c>
      <c r="E8" s="33">
        <f>1140.88+6196.08</f>
        <v>7336.96</v>
      </c>
      <c r="F8" s="68">
        <v>212674</v>
      </c>
      <c r="G8" s="33">
        <f>2372.88+17311.15</f>
        <v>19684.030000000002</v>
      </c>
      <c r="H8" s="68">
        <v>99000</v>
      </c>
      <c r="I8" s="33">
        <f>1200+120787.46</f>
        <v>121987.46</v>
      </c>
      <c r="J8" s="68">
        <v>6000</v>
      </c>
      <c r="K8" s="33">
        <f>109+2602</f>
        <v>2711</v>
      </c>
      <c r="L8" s="68">
        <v>50000</v>
      </c>
      <c r="M8" s="33">
        <v>0</v>
      </c>
      <c r="N8" s="68">
        <v>50000</v>
      </c>
      <c r="O8" s="33">
        <v>91733.66</v>
      </c>
      <c r="P8" s="34">
        <f>+C8+G8+I8+K8+O8+E8</f>
        <v>768033.91</v>
      </c>
      <c r="Q8" s="34">
        <f>+B8+D8+F8+H8+J8+N8-P8+L8</f>
        <v>396023.08999999997</v>
      </c>
    </row>
    <row r="9" spans="1:17" ht="17.25">
      <c r="A9" s="31" t="s">
        <v>113</v>
      </c>
      <c r="B9" s="32">
        <v>66915</v>
      </c>
      <c r="C9" s="33">
        <f>5414.39+42691.48</f>
        <v>48105.87</v>
      </c>
      <c r="D9" s="68">
        <v>0</v>
      </c>
      <c r="E9" s="33">
        <v>0</v>
      </c>
      <c r="F9" s="68">
        <v>0</v>
      </c>
      <c r="G9" s="33">
        <v>0</v>
      </c>
      <c r="H9" s="68">
        <v>0</v>
      </c>
      <c r="I9" s="33">
        <v>0</v>
      </c>
      <c r="J9" s="68">
        <v>0</v>
      </c>
      <c r="K9" s="33">
        <v>1490.29</v>
      </c>
      <c r="L9" s="68">
        <v>0</v>
      </c>
      <c r="M9" s="33">
        <v>0</v>
      </c>
      <c r="N9" s="68">
        <v>0</v>
      </c>
      <c r="O9" s="33">
        <v>875.57</v>
      </c>
      <c r="P9" s="34">
        <f>+C9+G9+I9+K9+O9+E9</f>
        <v>50471.73</v>
      </c>
      <c r="Q9" s="34">
        <f>+B9+D9+F9+H9+J9+N9-P9</f>
        <v>16443.269999999997</v>
      </c>
    </row>
    <row r="10" spans="1:17" ht="17.25">
      <c r="A10" s="31" t="s">
        <v>114</v>
      </c>
      <c r="B10" s="32">
        <v>43048</v>
      </c>
      <c r="C10" s="33">
        <f>2352.14+25813.13</f>
        <v>28165.27</v>
      </c>
      <c r="D10" s="68">
        <v>0</v>
      </c>
      <c r="E10" s="33">
        <v>0</v>
      </c>
      <c r="F10" s="68">
        <v>0</v>
      </c>
      <c r="G10" s="33">
        <v>0</v>
      </c>
      <c r="H10" s="68">
        <v>0</v>
      </c>
      <c r="I10" s="33">
        <v>0</v>
      </c>
      <c r="J10" s="68">
        <v>0</v>
      </c>
      <c r="K10" s="33">
        <v>0</v>
      </c>
      <c r="L10" s="68">
        <v>0</v>
      </c>
      <c r="M10" s="33">
        <v>0</v>
      </c>
      <c r="N10" s="68">
        <v>0</v>
      </c>
      <c r="O10" s="33">
        <v>946.58</v>
      </c>
      <c r="P10" s="34">
        <f>+C10+G10+I10+K10+O10+E10</f>
        <v>29111.850000000002</v>
      </c>
      <c r="Q10" s="34">
        <f>+B10+D10+F10+H10+J10+N10-P10</f>
        <v>13936.149999999998</v>
      </c>
    </row>
    <row r="11" spans="1:17" ht="10.5" customHeight="1">
      <c r="A11" s="31"/>
      <c r="B11" s="32"/>
      <c r="C11" s="33"/>
      <c r="D11" s="32"/>
      <c r="E11" s="33"/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34"/>
      <c r="Q11" s="34"/>
    </row>
    <row r="12" spans="1:18" ht="18" thickBot="1">
      <c r="A12" s="38" t="s">
        <v>11</v>
      </c>
      <c r="B12" s="39">
        <f aca="true" t="shared" si="0" ref="B12:Q12">SUM(B8:B10)</f>
        <v>797846</v>
      </c>
      <c r="C12" s="40">
        <f t="shared" si="0"/>
        <v>600851.9400000001</v>
      </c>
      <c r="D12" s="39">
        <f t="shared" si="0"/>
        <v>58500</v>
      </c>
      <c r="E12" s="40">
        <f t="shared" si="0"/>
        <v>7336.96</v>
      </c>
      <c r="F12" s="39">
        <f t="shared" si="0"/>
        <v>212674</v>
      </c>
      <c r="G12" s="40">
        <f t="shared" si="0"/>
        <v>19684.030000000002</v>
      </c>
      <c r="H12" s="39">
        <f t="shared" si="0"/>
        <v>99000</v>
      </c>
      <c r="I12" s="40">
        <f t="shared" si="0"/>
        <v>121987.46</v>
      </c>
      <c r="J12" s="39">
        <f t="shared" si="0"/>
        <v>6000</v>
      </c>
      <c r="K12" s="40">
        <f t="shared" si="0"/>
        <v>4201.29</v>
      </c>
      <c r="L12" s="39">
        <f t="shared" si="0"/>
        <v>50000</v>
      </c>
      <c r="M12" s="40">
        <f t="shared" si="0"/>
        <v>0</v>
      </c>
      <c r="N12" s="39">
        <f t="shared" si="0"/>
        <v>50000</v>
      </c>
      <c r="O12" s="40">
        <f t="shared" si="0"/>
        <v>93555.81000000001</v>
      </c>
      <c r="P12" s="42">
        <f t="shared" si="0"/>
        <v>847617.49</v>
      </c>
      <c r="Q12" s="42">
        <f t="shared" si="0"/>
        <v>426402.51</v>
      </c>
      <c r="R12" s="5"/>
    </row>
    <row r="13" spans="1:17" ht="17.25" thickBot="1">
      <c r="A13" s="43" t="s">
        <v>31</v>
      </c>
      <c r="B13" s="88"/>
      <c r="C13" s="93">
        <f>+C12/B12</f>
        <v>0.7530926268979228</v>
      </c>
      <c r="D13" s="93"/>
      <c r="E13" s="93">
        <f>+E12/D12</f>
        <v>0.12541811965811966</v>
      </c>
      <c r="F13" s="93"/>
      <c r="G13" s="93">
        <f>+G12/F12</f>
        <v>0.09255494324647114</v>
      </c>
      <c r="H13" s="93"/>
      <c r="I13" s="93">
        <f>+I12/H12</f>
        <v>1.2321965656565657</v>
      </c>
      <c r="J13" s="89"/>
      <c r="K13" s="89">
        <f>+K12/J12</f>
        <v>0.700215</v>
      </c>
      <c r="L13" s="90"/>
      <c r="M13" s="47">
        <f>+M12/L12</f>
        <v>0</v>
      </c>
      <c r="N13" s="45"/>
      <c r="O13" s="145"/>
      <c r="P13" s="58"/>
      <c r="Q13" s="94"/>
    </row>
    <row r="14" spans="1:18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144"/>
      <c r="Q14" s="5"/>
      <c r="R14" s="5"/>
    </row>
    <row r="41" spans="1:8" ht="16.5">
      <c r="A41" s="53"/>
      <c r="B41" s="53"/>
      <c r="C41" s="53"/>
      <c r="D41" s="53"/>
      <c r="G41" s="53"/>
      <c r="H41" s="53"/>
    </row>
    <row r="43" spans="3:8" ht="16.5">
      <c r="C43" s="52"/>
      <c r="D43" s="5"/>
      <c r="G43" s="53"/>
      <c r="H43" s="53"/>
    </row>
    <row r="44" spans="4:8" ht="16.5">
      <c r="D44" s="5"/>
      <c r="H44" s="53"/>
    </row>
    <row r="45" spans="1:8" ht="16.5">
      <c r="A45" s="62" t="s">
        <v>27</v>
      </c>
      <c r="B45" s="71" t="s">
        <v>28</v>
      </c>
      <c r="C45" s="91" t="s">
        <v>29</v>
      </c>
      <c r="D45" s="5"/>
      <c r="H45" s="53"/>
    </row>
    <row r="46" spans="1:8" ht="17.25">
      <c r="A46" s="64">
        <f>+B12</f>
        <v>797846</v>
      </c>
      <c r="B46" s="65">
        <f>+C12</f>
        <v>600851.9400000001</v>
      </c>
      <c r="C46" s="91" t="s">
        <v>1</v>
      </c>
      <c r="D46" s="5"/>
      <c r="H46" s="53"/>
    </row>
    <row r="47" spans="1:8" ht="17.25">
      <c r="A47" s="64">
        <f>+D12</f>
        <v>58500</v>
      </c>
      <c r="B47" s="65">
        <f>+E12</f>
        <v>7336.96</v>
      </c>
      <c r="C47" s="91" t="s">
        <v>2</v>
      </c>
      <c r="D47" s="5"/>
      <c r="H47" s="53"/>
    </row>
    <row r="48" spans="1:8" ht="17.25">
      <c r="A48" s="64">
        <f>+F12</f>
        <v>212674</v>
      </c>
      <c r="B48" s="65">
        <f>+G12</f>
        <v>19684.030000000002</v>
      </c>
      <c r="C48" s="91" t="s">
        <v>3</v>
      </c>
      <c r="D48" s="5"/>
      <c r="H48" s="53"/>
    </row>
    <row r="49" spans="1:3" ht="17.25">
      <c r="A49" s="64">
        <f>+H12</f>
        <v>99000</v>
      </c>
      <c r="B49" s="65">
        <f>+I12</f>
        <v>121987.46</v>
      </c>
      <c r="C49" s="62" t="s">
        <v>35</v>
      </c>
    </row>
    <row r="50" spans="1:3" ht="17.25">
      <c r="A50" s="64">
        <f>+J12</f>
        <v>6000</v>
      </c>
      <c r="B50" s="65">
        <f>+K12</f>
        <v>4201.29</v>
      </c>
      <c r="C50" s="62" t="s">
        <v>33</v>
      </c>
    </row>
    <row r="51" spans="1:3" ht="17.25">
      <c r="A51" s="66">
        <f>+L12</f>
        <v>50000</v>
      </c>
      <c r="B51" s="65">
        <f>+M12</f>
        <v>0</v>
      </c>
      <c r="C51" s="62" t="s">
        <v>97</v>
      </c>
    </row>
    <row r="52" spans="1:3" ht="17.25">
      <c r="A52" s="64">
        <f>+N12</f>
        <v>50000</v>
      </c>
      <c r="B52" s="65">
        <f>+O12</f>
        <v>93555.81000000001</v>
      </c>
      <c r="C52" s="62" t="s">
        <v>36</v>
      </c>
    </row>
    <row r="53" spans="1:3" ht="17.25">
      <c r="A53" s="64">
        <v>565834</v>
      </c>
      <c r="B53" s="65">
        <v>158443.27</v>
      </c>
      <c r="C53" s="95"/>
    </row>
    <row r="54" ht="16.5">
      <c r="C54" s="95"/>
    </row>
    <row r="55" ht="16.5">
      <c r="C55" s="95"/>
    </row>
  </sheetData>
  <mergeCells count="9">
    <mergeCell ref="B2:E2"/>
    <mergeCell ref="I2:J2"/>
    <mergeCell ref="B3:C3"/>
    <mergeCell ref="J6:K6"/>
    <mergeCell ref="N6:O6"/>
    <mergeCell ref="B6:C6"/>
    <mergeCell ref="D6:E6"/>
    <mergeCell ref="F6:G6"/>
    <mergeCell ref="H6:I6"/>
  </mergeCells>
  <printOptions/>
  <pageMargins left="0.91" right="0.63" top="0.75" bottom="0.5" header="0.38" footer="0"/>
  <pageSetup horizontalDpi="600" verticalDpi="600" orientation="landscape" paperSize="5" r:id="rId2"/>
  <headerFooter alignWithMargins="0">
    <oddHeader>&amp;R&amp;"Gill Sans MT Shadow,Regular"&amp;10CONTADURIA MUNICIPAL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F1">
      <selection activeCell="P12" sqref="P12"/>
    </sheetView>
  </sheetViews>
  <sheetFormatPr defaultColWidth="11.421875" defaultRowHeight="15"/>
  <cols>
    <col min="1" max="1" width="10.00390625" style="1" customWidth="1"/>
    <col min="2" max="2" width="8.7109375" style="1" customWidth="1"/>
    <col min="3" max="3" width="10.28125" style="1" customWidth="1"/>
    <col min="4" max="4" width="7.8515625" style="1" customWidth="1"/>
    <col min="5" max="5" width="8.7109375" style="1" customWidth="1"/>
    <col min="6" max="6" width="7.57421875" style="1" customWidth="1"/>
    <col min="7" max="7" width="10.00390625" style="1" customWidth="1"/>
    <col min="8" max="8" width="7.28125" style="1" customWidth="1"/>
    <col min="9" max="9" width="9.140625" style="1" customWidth="1"/>
    <col min="10" max="10" width="7.421875" style="1" customWidth="1"/>
    <col min="11" max="11" width="9.28125" style="1" customWidth="1"/>
    <col min="12" max="12" width="7.8515625" style="1" customWidth="1"/>
    <col min="13" max="13" width="9.8515625" style="1" customWidth="1"/>
    <col min="14" max="14" width="10.140625" style="1" customWidth="1"/>
    <col min="15" max="15" width="10.7109375" style="1" customWidth="1"/>
    <col min="16" max="16" width="11.8515625" style="1" bestFit="1" customWidth="1"/>
    <col min="17" max="16384" width="11.421875" style="1" customWidth="1"/>
  </cols>
  <sheetData>
    <row r="2" spans="1:12" ht="18">
      <c r="A2" s="150" t="s">
        <v>0</v>
      </c>
      <c r="B2" s="163" t="s">
        <v>115</v>
      </c>
      <c r="C2" s="178"/>
      <c r="D2" s="168"/>
      <c r="E2" s="168"/>
      <c r="I2" s="172" t="s">
        <v>24</v>
      </c>
      <c r="J2" s="172"/>
      <c r="K2" s="157">
        <v>40422</v>
      </c>
      <c r="L2" s="20"/>
    </row>
    <row r="3" spans="2:4" ht="16.5">
      <c r="B3" s="176"/>
      <c r="C3" s="177"/>
      <c r="D3" s="96"/>
    </row>
    <row r="5" ht="17.25" thickBot="1"/>
    <row r="6" spans="1:15" ht="17.25">
      <c r="A6" s="25"/>
      <c r="B6" s="170" t="s">
        <v>1</v>
      </c>
      <c r="C6" s="171"/>
      <c r="D6" s="170" t="s">
        <v>2</v>
      </c>
      <c r="E6" s="171"/>
      <c r="F6" s="170" t="s">
        <v>3</v>
      </c>
      <c r="G6" s="171"/>
      <c r="H6" s="170" t="s">
        <v>4</v>
      </c>
      <c r="I6" s="171"/>
      <c r="J6" s="170" t="s">
        <v>33</v>
      </c>
      <c r="K6" s="171"/>
      <c r="L6" s="170" t="s">
        <v>34</v>
      </c>
      <c r="M6" s="171"/>
      <c r="N6" s="26" t="s">
        <v>5</v>
      </c>
      <c r="O6" s="26" t="s">
        <v>39</v>
      </c>
    </row>
    <row r="7" spans="1:15" ht="17.25">
      <c r="A7" s="27"/>
      <c r="B7" s="28" t="s">
        <v>32</v>
      </c>
      <c r="C7" s="28" t="s">
        <v>38</v>
      </c>
      <c r="D7" s="28" t="s">
        <v>32</v>
      </c>
      <c r="E7" s="28" t="s">
        <v>38</v>
      </c>
      <c r="F7" s="28" t="s">
        <v>32</v>
      </c>
      <c r="G7" s="28" t="s">
        <v>38</v>
      </c>
      <c r="H7" s="28" t="s">
        <v>32</v>
      </c>
      <c r="I7" s="28" t="s">
        <v>38</v>
      </c>
      <c r="J7" s="28" t="s">
        <v>32</v>
      </c>
      <c r="K7" s="28" t="s">
        <v>38</v>
      </c>
      <c r="L7" s="28" t="s">
        <v>32</v>
      </c>
      <c r="M7" s="28" t="s">
        <v>38</v>
      </c>
      <c r="N7" s="29" t="s">
        <v>26</v>
      </c>
      <c r="O7" s="30" t="s">
        <v>40</v>
      </c>
    </row>
    <row r="8" spans="1:15" ht="16.5">
      <c r="A8" s="97"/>
      <c r="B8" s="98"/>
      <c r="C8" s="33"/>
      <c r="D8" s="36"/>
      <c r="E8" s="33"/>
      <c r="F8" s="36"/>
      <c r="G8" s="33"/>
      <c r="H8" s="36"/>
      <c r="I8" s="33"/>
      <c r="J8" s="36"/>
      <c r="K8" s="33"/>
      <c r="L8" s="36"/>
      <c r="M8" s="33"/>
      <c r="N8" s="34"/>
      <c r="O8" s="34"/>
    </row>
    <row r="9" spans="1:15" ht="17.25">
      <c r="A9" s="31" t="s">
        <v>92</v>
      </c>
      <c r="B9" s="57">
        <v>260213</v>
      </c>
      <c r="C9" s="33">
        <f>20396.74+169919.36</f>
        <v>190316.09999999998</v>
      </c>
      <c r="D9" s="76">
        <v>2170</v>
      </c>
      <c r="E9" s="33">
        <v>306.01</v>
      </c>
      <c r="F9" s="76">
        <v>113090</v>
      </c>
      <c r="G9" s="33">
        <f>88.33+37303.9</f>
        <v>37392.23</v>
      </c>
      <c r="H9" s="76">
        <v>0</v>
      </c>
      <c r="I9" s="33">
        <v>0</v>
      </c>
      <c r="J9" s="76">
        <v>3000</v>
      </c>
      <c r="K9" s="33">
        <v>3358.12</v>
      </c>
      <c r="L9" s="76">
        <v>15000</v>
      </c>
      <c r="M9" s="33">
        <v>11029.19</v>
      </c>
      <c r="N9" s="34">
        <f>+M9+K9+I9+G9+E9+C9</f>
        <v>242401.65</v>
      </c>
      <c r="O9" s="34">
        <f>+B9+D9+F9+H9+J9+L9-N9</f>
        <v>151071.35</v>
      </c>
    </row>
    <row r="10" spans="1:15" ht="16.5">
      <c r="A10" s="97"/>
      <c r="B10" s="98"/>
      <c r="C10" s="33"/>
      <c r="D10" s="36"/>
      <c r="E10" s="33"/>
      <c r="F10" s="36"/>
      <c r="G10" s="33"/>
      <c r="H10" s="36"/>
      <c r="I10" s="33"/>
      <c r="J10" s="36"/>
      <c r="K10" s="33"/>
      <c r="L10" s="36"/>
      <c r="M10" s="33"/>
      <c r="N10" s="34"/>
      <c r="O10" s="34"/>
    </row>
    <row r="11" spans="1:15" ht="16.5">
      <c r="A11" s="97"/>
      <c r="B11" s="98"/>
      <c r="C11" s="33"/>
      <c r="D11" s="36"/>
      <c r="E11" s="33"/>
      <c r="F11" s="36"/>
      <c r="G11" s="33"/>
      <c r="H11" s="36"/>
      <c r="I11" s="33"/>
      <c r="J11" s="36"/>
      <c r="K11" s="33"/>
      <c r="L11" s="36"/>
      <c r="M11" s="33"/>
      <c r="N11" s="34"/>
      <c r="O11" s="34"/>
    </row>
    <row r="12" spans="1:16" ht="18" thickBot="1">
      <c r="A12" s="38" t="s">
        <v>11</v>
      </c>
      <c r="B12" s="39">
        <f>SUM(B9:B11)</f>
        <v>260213</v>
      </c>
      <c r="C12" s="40">
        <f>SUM(C9)</f>
        <v>190316.09999999998</v>
      </c>
      <c r="D12" s="39">
        <f>SUM(D9:D11)</f>
        <v>2170</v>
      </c>
      <c r="E12" s="40">
        <f>SUM(E9)</f>
        <v>306.01</v>
      </c>
      <c r="F12" s="39">
        <f>SUM(F9:F11)</f>
        <v>113090</v>
      </c>
      <c r="G12" s="40">
        <f>SUM(G9)</f>
        <v>37392.23</v>
      </c>
      <c r="H12" s="99">
        <f>SUM(H9:H11)</f>
        <v>0</v>
      </c>
      <c r="I12" s="40">
        <v>0</v>
      </c>
      <c r="J12" s="39">
        <f>SUM(J9:J11)</f>
        <v>3000</v>
      </c>
      <c r="K12" s="40">
        <f>SUM(K9)</f>
        <v>3358.12</v>
      </c>
      <c r="L12" s="39">
        <f>SUM(L9:L11)</f>
        <v>15000</v>
      </c>
      <c r="M12" s="40">
        <f>SUM(M9)</f>
        <v>11029.19</v>
      </c>
      <c r="N12" s="42">
        <f>SUM(N9)</f>
        <v>242401.65</v>
      </c>
      <c r="O12" s="42">
        <f>SUM(O9)</f>
        <v>151071.35</v>
      </c>
      <c r="P12" s="5"/>
    </row>
    <row r="13" spans="1:15" ht="17.25" thickBot="1">
      <c r="A13" s="43" t="s">
        <v>31</v>
      </c>
      <c r="B13" s="88"/>
      <c r="C13" s="93">
        <f>+C12/B12</f>
        <v>0.7313858262269755</v>
      </c>
      <c r="D13" s="89"/>
      <c r="E13" s="89">
        <f>+E12/D12</f>
        <v>0.14101843317972348</v>
      </c>
      <c r="F13" s="89"/>
      <c r="G13" s="93">
        <f>+G12/F12</f>
        <v>0.3306413475992573</v>
      </c>
      <c r="H13" s="89"/>
      <c r="I13" s="89"/>
      <c r="J13" s="89"/>
      <c r="K13" s="47">
        <f>+K12/J12</f>
        <v>1.1193733333333333</v>
      </c>
      <c r="L13" s="45"/>
      <c r="M13" s="145"/>
      <c r="N13" s="58"/>
      <c r="O13" s="5"/>
    </row>
    <row r="14" spans="1:14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144"/>
    </row>
    <row r="33" spans="5:10" ht="16.5">
      <c r="E33" s="61"/>
      <c r="F33" s="61"/>
      <c r="J33" s="61"/>
    </row>
    <row r="44" spans="1:8" ht="16.5">
      <c r="A44" s="53"/>
      <c r="B44" s="53"/>
      <c r="C44" s="53"/>
      <c r="D44" s="53"/>
      <c r="G44" s="53"/>
      <c r="H44" s="53"/>
    </row>
    <row r="46" spans="3:8" ht="16.5">
      <c r="C46" s="5"/>
      <c r="D46" s="5"/>
      <c r="G46" s="53"/>
      <c r="H46" s="53"/>
    </row>
    <row r="47" spans="4:8" ht="16.5">
      <c r="D47" s="5"/>
      <c r="H47" s="53"/>
    </row>
    <row r="48" spans="1:8" ht="16.5">
      <c r="A48" s="71" t="s">
        <v>27</v>
      </c>
      <c r="B48" s="71" t="s">
        <v>28</v>
      </c>
      <c r="C48" s="91" t="s">
        <v>29</v>
      </c>
      <c r="D48" s="5"/>
      <c r="H48" s="53"/>
    </row>
    <row r="49" spans="1:8" ht="17.25">
      <c r="A49" s="65">
        <f>+B12</f>
        <v>260213</v>
      </c>
      <c r="B49" s="65">
        <f>+C12</f>
        <v>190316.09999999998</v>
      </c>
      <c r="C49" s="91" t="s">
        <v>1</v>
      </c>
      <c r="D49" s="5"/>
      <c r="H49" s="53"/>
    </row>
    <row r="50" spans="1:8" ht="17.25">
      <c r="A50" s="65">
        <f>+D12</f>
        <v>2170</v>
      </c>
      <c r="B50" s="65">
        <f>+E12</f>
        <v>306.01</v>
      </c>
      <c r="C50" s="91" t="s">
        <v>2</v>
      </c>
      <c r="D50" s="5"/>
      <c r="H50" s="53"/>
    </row>
    <row r="51" spans="1:8" ht="17.25">
      <c r="A51" s="65">
        <f>+F12</f>
        <v>113090</v>
      </c>
      <c r="B51" s="65">
        <f>+G12</f>
        <v>37392.23</v>
      </c>
      <c r="C51" s="91" t="s">
        <v>3</v>
      </c>
      <c r="D51" s="5"/>
      <c r="H51" s="53"/>
    </row>
    <row r="52" spans="1:3" ht="17.25">
      <c r="A52" s="65">
        <f>+J12</f>
        <v>3000</v>
      </c>
      <c r="B52" s="65">
        <f>+K12</f>
        <v>3358.12</v>
      </c>
      <c r="C52" s="62" t="s">
        <v>33</v>
      </c>
    </row>
    <row r="53" spans="1:3" ht="17.25">
      <c r="A53" s="65">
        <f>+L12</f>
        <v>15000</v>
      </c>
      <c r="B53" s="65">
        <f>+M12</f>
        <v>11029.19</v>
      </c>
      <c r="C53" s="62" t="s">
        <v>36</v>
      </c>
    </row>
    <row r="54" spans="1:2" ht="17.25">
      <c r="A54" s="64"/>
      <c r="B54" s="64"/>
    </row>
    <row r="55" spans="1:2" ht="17.25">
      <c r="A55" s="64">
        <v>167558</v>
      </c>
      <c r="B55" s="65">
        <v>40952.32</v>
      </c>
    </row>
    <row r="56" spans="1:2" ht="17.25">
      <c r="A56" s="64"/>
      <c r="B56" s="64"/>
    </row>
  </sheetData>
  <mergeCells count="9">
    <mergeCell ref="B2:E2"/>
    <mergeCell ref="F6:G6"/>
    <mergeCell ref="B3:C3"/>
    <mergeCell ref="D6:E6"/>
    <mergeCell ref="B6:C6"/>
    <mergeCell ref="I2:J2"/>
    <mergeCell ref="L6:M6"/>
    <mergeCell ref="J6:K6"/>
    <mergeCell ref="H6:I6"/>
  </mergeCells>
  <printOptions/>
  <pageMargins left="2.28" right="0.75" top="0.88" bottom="0.54" header="0.4" footer="0"/>
  <pageSetup horizontalDpi="600" verticalDpi="600" orientation="landscape" paperSize="5" r:id="rId2"/>
  <headerFooter alignWithMargins="0">
    <oddHeader>&amp;R&amp;"Gill Sans MT Shadow,Regular"&amp;10CONTADURIA MUNICIPAL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C13" sqref="C13"/>
    </sheetView>
  </sheetViews>
  <sheetFormatPr defaultColWidth="11.421875" defaultRowHeight="15"/>
  <cols>
    <col min="1" max="1" width="14.28125" style="1" customWidth="1"/>
    <col min="2" max="2" width="10.140625" style="1" customWidth="1"/>
    <col min="3" max="3" width="12.57421875" style="1" customWidth="1"/>
    <col min="4" max="4" width="9.140625" style="1" customWidth="1"/>
    <col min="5" max="5" width="12.28125" style="1" customWidth="1"/>
    <col min="6" max="6" width="9.421875" style="1" customWidth="1"/>
    <col min="7" max="7" width="11.8515625" style="1" customWidth="1"/>
    <col min="8" max="8" width="7.421875" style="1" customWidth="1"/>
    <col min="9" max="9" width="9.421875" style="1" customWidth="1"/>
    <col min="10" max="10" width="7.140625" style="1" customWidth="1"/>
    <col min="11" max="11" width="10.140625" style="1" customWidth="1"/>
    <col min="12" max="12" width="7.57421875" style="1" customWidth="1"/>
    <col min="13" max="13" width="10.28125" style="1" customWidth="1"/>
    <col min="14" max="14" width="8.8515625" style="1" customWidth="1"/>
    <col min="15" max="15" width="10.8515625" style="1" customWidth="1"/>
    <col min="16" max="16" width="12.8515625" style="1" customWidth="1"/>
    <col min="17" max="17" width="12.140625" style="1" customWidth="1"/>
    <col min="18" max="18" width="15.00390625" style="1" bestFit="1" customWidth="1"/>
    <col min="19" max="16384" width="11.421875" style="1" customWidth="1"/>
  </cols>
  <sheetData>
    <row r="1" spans="1:15" ht="18">
      <c r="A1" s="150" t="s">
        <v>0</v>
      </c>
      <c r="B1" s="163" t="s">
        <v>116</v>
      </c>
      <c r="C1" s="174"/>
      <c r="D1" s="174"/>
      <c r="E1" s="174"/>
      <c r="F1" s="155"/>
      <c r="L1" s="172" t="s">
        <v>24</v>
      </c>
      <c r="M1" s="173"/>
      <c r="N1" s="157">
        <v>40422</v>
      </c>
      <c r="O1" s="23"/>
    </row>
    <row r="2" spans="2:4" ht="4.5" customHeight="1">
      <c r="B2" s="176"/>
      <c r="C2" s="177"/>
      <c r="D2" s="177"/>
    </row>
    <row r="3" ht="17.25" thickBot="1"/>
    <row r="4" spans="1:17" ht="17.25">
      <c r="A4" s="25"/>
      <c r="B4" s="170" t="s">
        <v>1</v>
      </c>
      <c r="C4" s="171"/>
      <c r="D4" s="170" t="s">
        <v>2</v>
      </c>
      <c r="E4" s="171"/>
      <c r="F4" s="170" t="s">
        <v>3</v>
      </c>
      <c r="G4" s="171"/>
      <c r="H4" s="170" t="s">
        <v>35</v>
      </c>
      <c r="I4" s="171"/>
      <c r="J4" s="170" t="s">
        <v>33</v>
      </c>
      <c r="K4" s="171"/>
      <c r="L4" s="170" t="s">
        <v>37</v>
      </c>
      <c r="M4" s="171"/>
      <c r="N4" s="170" t="s">
        <v>34</v>
      </c>
      <c r="O4" s="171"/>
      <c r="P4" s="26" t="s">
        <v>5</v>
      </c>
      <c r="Q4" s="26" t="s">
        <v>39</v>
      </c>
    </row>
    <row r="5" spans="1:17" ht="17.25">
      <c r="A5" s="27"/>
      <c r="B5" s="28" t="s">
        <v>32</v>
      </c>
      <c r="C5" s="28" t="s">
        <v>38</v>
      </c>
      <c r="D5" s="28" t="s">
        <v>32</v>
      </c>
      <c r="E5" s="28" t="s">
        <v>38</v>
      </c>
      <c r="F5" s="28" t="s">
        <v>32</v>
      </c>
      <c r="G5" s="28" t="s">
        <v>38</v>
      </c>
      <c r="H5" s="28" t="s">
        <v>32</v>
      </c>
      <c r="I5" s="28" t="s">
        <v>38</v>
      </c>
      <c r="J5" s="28" t="s">
        <v>32</v>
      </c>
      <c r="K5" s="28" t="s">
        <v>38</v>
      </c>
      <c r="L5" s="28" t="s">
        <v>32</v>
      </c>
      <c r="M5" s="28" t="s">
        <v>38</v>
      </c>
      <c r="N5" s="28" t="s">
        <v>32</v>
      </c>
      <c r="O5" s="28" t="s">
        <v>38</v>
      </c>
      <c r="P5" s="126" t="s">
        <v>26</v>
      </c>
      <c r="Q5" s="30" t="s">
        <v>40</v>
      </c>
    </row>
    <row r="6" spans="1:17" ht="17.25">
      <c r="A6" s="31" t="s">
        <v>15</v>
      </c>
      <c r="B6" s="32">
        <v>987086</v>
      </c>
      <c r="C6" s="33">
        <f>37716.52+486156.1+5885.93+43346.08+6615.48+43233.2</f>
        <v>622953.3099999999</v>
      </c>
      <c r="D6" s="68">
        <f>13500-5000</f>
        <v>8500</v>
      </c>
      <c r="E6" s="33">
        <f>4675.26+52455.82</f>
        <v>57131.08</v>
      </c>
      <c r="F6" s="68">
        <f>359590-50000</f>
        <v>309590</v>
      </c>
      <c r="G6" s="33">
        <f>19653.11+270586.8</f>
        <v>290239.91</v>
      </c>
      <c r="H6" s="68">
        <v>44400</v>
      </c>
      <c r="I6" s="33">
        <f>12090.17+66627.73</f>
        <v>78717.9</v>
      </c>
      <c r="J6" s="68">
        <v>30000</v>
      </c>
      <c r="K6" s="33">
        <v>2680.85</v>
      </c>
      <c r="L6" s="68">
        <v>0</v>
      </c>
      <c r="M6" s="33">
        <v>33274.97</v>
      </c>
      <c r="N6" s="68">
        <v>775264</v>
      </c>
      <c r="O6" s="33">
        <v>284825.19</v>
      </c>
      <c r="P6" s="34">
        <f aca="true" t="shared" si="0" ref="P6:P12">+O6+M6+K6+I6+G6+E6+C6</f>
        <v>1369823.21</v>
      </c>
      <c r="Q6" s="34">
        <f aca="true" t="shared" si="1" ref="Q6:Q12">+B6+D6+F6+H6+J6+L6+N6-P6</f>
        <v>785016.79</v>
      </c>
    </row>
    <row r="7" spans="1:17" ht="17.25">
      <c r="A7" s="31" t="s">
        <v>117</v>
      </c>
      <c r="B7" s="32">
        <v>1085238</v>
      </c>
      <c r="C7" s="33">
        <f>46009.72+337914.06+13182.22+102363.37+32484.43+178252.51</f>
        <v>710206.31</v>
      </c>
      <c r="D7" s="68">
        <f>65912-5000</f>
        <v>60912</v>
      </c>
      <c r="E7" s="33">
        <f>17629.7+45367.05</f>
        <v>62996.75</v>
      </c>
      <c r="F7" s="68">
        <v>244575</v>
      </c>
      <c r="G7" s="33">
        <f>6210.68+135836.89+51863.61</f>
        <v>193911.18</v>
      </c>
      <c r="H7" s="68">
        <v>0</v>
      </c>
      <c r="I7" s="33">
        <f>4600+3450</f>
        <v>8050</v>
      </c>
      <c r="J7" s="68">
        <v>3000</v>
      </c>
      <c r="K7" s="33">
        <v>2496.89</v>
      </c>
      <c r="L7" s="68">
        <v>23000</v>
      </c>
      <c r="M7" s="33">
        <f>347.72+3888.94</f>
        <v>4236.66</v>
      </c>
      <c r="N7" s="68">
        <v>0</v>
      </c>
      <c r="O7" s="33">
        <v>30126.81</v>
      </c>
      <c r="P7" s="34">
        <f>+O7+M7+K7+I7+G7+E7+C7</f>
        <v>1012024.6000000001</v>
      </c>
      <c r="Q7" s="34">
        <f t="shared" si="1"/>
        <v>404700.3999999999</v>
      </c>
    </row>
    <row r="8" spans="1:18" ht="17.25">
      <c r="A8" s="31" t="s">
        <v>118</v>
      </c>
      <c r="B8" s="32">
        <v>3969640</v>
      </c>
      <c r="C8" s="33">
        <f>298319.43+2587144.05</f>
        <v>2885463.48</v>
      </c>
      <c r="D8" s="68">
        <f>483500+30000</f>
        <v>513500</v>
      </c>
      <c r="E8" s="33">
        <f>35408.89+1077538.23</f>
        <v>1112947.1199999999</v>
      </c>
      <c r="F8" s="68">
        <v>765550</v>
      </c>
      <c r="G8" s="33">
        <f>139911.36+690140.59</f>
        <v>830051.95</v>
      </c>
      <c r="H8" s="68">
        <v>0</v>
      </c>
      <c r="I8" s="33">
        <v>0</v>
      </c>
      <c r="J8" s="68">
        <v>0</v>
      </c>
      <c r="K8" s="33">
        <f>11400+12201.32</f>
        <v>23601.32</v>
      </c>
      <c r="L8" s="68">
        <v>0</v>
      </c>
      <c r="M8" s="33">
        <f>9894.96+30000</f>
        <v>39894.96</v>
      </c>
      <c r="N8" s="68">
        <v>0</v>
      </c>
      <c r="O8" s="33">
        <v>173086.36</v>
      </c>
      <c r="P8" s="34">
        <f t="shared" si="0"/>
        <v>5065045.1899999995</v>
      </c>
      <c r="Q8" s="34">
        <f t="shared" si="1"/>
        <v>183644.81000000052</v>
      </c>
      <c r="R8" s="5"/>
    </row>
    <row r="9" spans="1:17" ht="17.25">
      <c r="A9" s="31" t="s">
        <v>41</v>
      </c>
      <c r="B9" s="32">
        <v>1773070</v>
      </c>
      <c r="C9" s="33">
        <f>269143.73+1094132.13+9100.32+18325.94</f>
        <v>1390702.1199999999</v>
      </c>
      <c r="D9" s="68">
        <f>485900+180000+400000</f>
        <v>1065900</v>
      </c>
      <c r="E9" s="33">
        <f>3091.58+555545.72+2415.4</f>
        <v>561052.7</v>
      </c>
      <c r="F9" s="68">
        <v>156200</v>
      </c>
      <c r="G9" s="33">
        <f>2033.49+130707.77</f>
        <v>132741.26</v>
      </c>
      <c r="H9" s="68">
        <v>0</v>
      </c>
      <c r="I9" s="33">
        <v>0</v>
      </c>
      <c r="J9" s="68">
        <v>0</v>
      </c>
      <c r="K9" s="33">
        <f>8228+18121.53</f>
        <v>26349.53</v>
      </c>
      <c r="L9" s="68">
        <f>16000+50000</f>
        <v>66000</v>
      </c>
      <c r="M9" s="33">
        <f>491.08+76448.8</f>
        <v>76939.88</v>
      </c>
      <c r="N9" s="68">
        <v>0</v>
      </c>
      <c r="O9" s="33">
        <v>168508.06</v>
      </c>
      <c r="P9" s="34">
        <f t="shared" si="0"/>
        <v>2356293.55</v>
      </c>
      <c r="Q9" s="34">
        <f t="shared" si="1"/>
        <v>704876.4500000002</v>
      </c>
    </row>
    <row r="10" spans="1:17" ht="17.25">
      <c r="A10" s="31" t="s">
        <v>119</v>
      </c>
      <c r="B10" s="32">
        <v>86085</v>
      </c>
      <c r="C10" s="33">
        <f>20369.48+38339.52</f>
        <v>58709</v>
      </c>
      <c r="D10" s="100">
        <f>346600+40000</f>
        <v>386600</v>
      </c>
      <c r="E10" s="80">
        <f>3318.59+82928.99</f>
        <v>86247.58</v>
      </c>
      <c r="F10" s="100">
        <v>0</v>
      </c>
      <c r="G10" s="80">
        <f>3280+11080</f>
        <v>14360</v>
      </c>
      <c r="H10" s="100">
        <v>0</v>
      </c>
      <c r="I10" s="80">
        <v>0</v>
      </c>
      <c r="J10" s="100">
        <v>5000</v>
      </c>
      <c r="K10" s="80">
        <v>10204.71</v>
      </c>
      <c r="L10" s="100">
        <v>200000</v>
      </c>
      <c r="M10" s="80">
        <f>6202.7+249059.39</f>
        <v>255262.09000000003</v>
      </c>
      <c r="N10" s="100">
        <v>0</v>
      </c>
      <c r="O10" s="80">
        <v>8508.33</v>
      </c>
      <c r="P10" s="34">
        <f t="shared" si="0"/>
        <v>433291.7100000001</v>
      </c>
      <c r="Q10" s="34">
        <f t="shared" si="1"/>
        <v>244393.28999999992</v>
      </c>
    </row>
    <row r="11" spans="1:17" ht="17.25">
      <c r="A11" s="31" t="s">
        <v>120</v>
      </c>
      <c r="B11" s="32">
        <v>374455</v>
      </c>
      <c r="C11" s="33">
        <f>34478.92+303330.96</f>
        <v>337809.88</v>
      </c>
      <c r="D11" s="68">
        <v>230000</v>
      </c>
      <c r="E11" s="33">
        <f>8830.32+305184.79</f>
        <v>314015.11</v>
      </c>
      <c r="F11" s="68">
        <v>1500000</v>
      </c>
      <c r="G11" s="33">
        <f>82200+1280269.4</f>
        <v>1362469.4</v>
      </c>
      <c r="H11" s="100">
        <v>0</v>
      </c>
      <c r="I11" s="33">
        <v>0</v>
      </c>
      <c r="J11" s="100">
        <v>0</v>
      </c>
      <c r="K11" s="33">
        <v>0</v>
      </c>
      <c r="L11" s="100">
        <v>0</v>
      </c>
      <c r="M11" s="33">
        <v>20</v>
      </c>
      <c r="N11" s="100">
        <v>0</v>
      </c>
      <c r="O11" s="33">
        <v>164590</v>
      </c>
      <c r="P11" s="34">
        <f t="shared" si="0"/>
        <v>2178904.3899999997</v>
      </c>
      <c r="Q11" s="34">
        <f t="shared" si="1"/>
        <v>-74449.38999999966</v>
      </c>
    </row>
    <row r="12" spans="1:17" ht="17.25">
      <c r="A12" s="31" t="s">
        <v>80</v>
      </c>
      <c r="B12" s="32">
        <v>4010583</v>
      </c>
      <c r="C12" s="33">
        <f>442747.38+1642548.85+85599.77+173918.49+2738.55+10434.72+19886.41+41130.44</f>
        <v>2419004.6100000003</v>
      </c>
      <c r="D12" s="68">
        <f>192446-70000</f>
        <v>122446</v>
      </c>
      <c r="E12" s="33">
        <f>12094.74+203072.34+240</f>
        <v>215407.08</v>
      </c>
      <c r="F12" s="68">
        <v>202900</v>
      </c>
      <c r="G12" s="33">
        <f>13015.58+318448.66+14849.59+10528.07</f>
        <v>356841.9</v>
      </c>
      <c r="H12" s="68">
        <v>2000</v>
      </c>
      <c r="I12" s="33">
        <v>3815.36</v>
      </c>
      <c r="J12" s="68">
        <f>8500+5000</f>
        <v>13500</v>
      </c>
      <c r="K12" s="33">
        <f>25910+40918.93</f>
        <v>66828.93</v>
      </c>
      <c r="L12" s="68">
        <f>216600+473000</f>
        <v>689600</v>
      </c>
      <c r="M12" s="33">
        <f>111708.5+319916.73</f>
        <v>431625.23</v>
      </c>
      <c r="N12" s="68">
        <v>0</v>
      </c>
      <c r="O12" s="33">
        <v>87207.48</v>
      </c>
      <c r="P12" s="34">
        <f t="shared" si="0"/>
        <v>3580730.5900000003</v>
      </c>
      <c r="Q12" s="34">
        <f t="shared" si="1"/>
        <v>1460298.4099999997</v>
      </c>
    </row>
    <row r="13" spans="1:18" ht="18" thickBot="1">
      <c r="A13" s="38" t="s">
        <v>11</v>
      </c>
      <c r="B13" s="39">
        <f aca="true" t="shared" si="2" ref="B13:Q13">SUM(B6:B12)</f>
        <v>12286157</v>
      </c>
      <c r="C13" s="40">
        <f t="shared" si="2"/>
        <v>8424848.71</v>
      </c>
      <c r="D13" s="39">
        <f t="shared" si="2"/>
        <v>2387858</v>
      </c>
      <c r="E13" s="40">
        <f t="shared" si="2"/>
        <v>2409797.42</v>
      </c>
      <c r="F13" s="39">
        <f t="shared" si="2"/>
        <v>3178815</v>
      </c>
      <c r="G13" s="40">
        <f t="shared" si="2"/>
        <v>3180615.6</v>
      </c>
      <c r="H13" s="39">
        <f t="shared" si="2"/>
        <v>46400</v>
      </c>
      <c r="I13" s="40">
        <f t="shared" si="2"/>
        <v>90583.26</v>
      </c>
      <c r="J13" s="39">
        <f t="shared" si="2"/>
        <v>51500</v>
      </c>
      <c r="K13" s="40">
        <f t="shared" si="2"/>
        <v>132162.22999999998</v>
      </c>
      <c r="L13" s="39">
        <f t="shared" si="2"/>
        <v>978600</v>
      </c>
      <c r="M13" s="40">
        <f t="shared" si="2"/>
        <v>841253.79</v>
      </c>
      <c r="N13" s="39">
        <f t="shared" si="2"/>
        <v>775264</v>
      </c>
      <c r="O13" s="40">
        <f t="shared" si="2"/>
        <v>916852.2299999999</v>
      </c>
      <c r="P13" s="42">
        <f t="shared" si="2"/>
        <v>15996113.240000002</v>
      </c>
      <c r="Q13" s="42">
        <f t="shared" si="2"/>
        <v>3708480.7600000007</v>
      </c>
      <c r="R13" s="5"/>
    </row>
    <row r="14" spans="1:17" ht="17.25" thickBot="1">
      <c r="A14" s="38" t="s">
        <v>31</v>
      </c>
      <c r="B14" s="88"/>
      <c r="C14" s="93">
        <f>+C13/B13</f>
        <v>0.6857187898543052</v>
      </c>
      <c r="D14" s="93"/>
      <c r="E14" s="93">
        <f>+E13/D13</f>
        <v>1.0091879081586927</v>
      </c>
      <c r="F14" s="93"/>
      <c r="G14" s="93">
        <f>+G13/F13</f>
        <v>1.0005664374932168</v>
      </c>
      <c r="H14" s="93"/>
      <c r="I14" s="93">
        <f>+I13/H13</f>
        <v>1.9522254310344827</v>
      </c>
      <c r="J14" s="93"/>
      <c r="K14" s="93">
        <f>+K13/J13</f>
        <v>2.566256893203883</v>
      </c>
      <c r="L14" s="153"/>
      <c r="M14" s="151">
        <f>+M13/L13</f>
        <v>0.8596503065603924</v>
      </c>
      <c r="N14" s="45"/>
      <c r="O14" s="145">
        <f>+O13/N13</f>
        <v>1.1826322775209475</v>
      </c>
      <c r="P14" s="58"/>
      <c r="Q14" s="5"/>
    </row>
    <row r="15" spans="1:17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4"/>
      <c r="Q15" s="5"/>
    </row>
    <row r="16" spans="16:17" ht="16.5">
      <c r="P16" s="48"/>
      <c r="Q16" s="5"/>
    </row>
    <row r="33" ht="16.5">
      <c r="J33" s="61"/>
    </row>
    <row r="38" spans="1:6" ht="16.5">
      <c r="A38" s="53"/>
      <c r="B38" s="53"/>
      <c r="C38" s="53"/>
      <c r="D38" s="53"/>
      <c r="E38" s="53"/>
      <c r="F38" s="53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1:6" ht="16.5">
      <c r="A43" s="78"/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ht="16.5">
      <c r="C47" s="48"/>
    </row>
    <row r="49" spans="1:4" ht="16.5">
      <c r="A49" s="62" t="s">
        <v>27</v>
      </c>
      <c r="B49" s="71" t="s">
        <v>28</v>
      </c>
      <c r="C49" s="62" t="s">
        <v>29</v>
      </c>
      <c r="D49" s="62"/>
    </row>
    <row r="50" spans="1:3" ht="17.25">
      <c r="A50" s="64">
        <f>+B13</f>
        <v>12286157</v>
      </c>
      <c r="B50" s="65">
        <f>+C13</f>
        <v>8424848.71</v>
      </c>
      <c r="C50" s="62" t="s">
        <v>1</v>
      </c>
    </row>
    <row r="51" spans="1:3" ht="17.25">
      <c r="A51" s="64">
        <f>+D13</f>
        <v>2387858</v>
      </c>
      <c r="B51" s="65">
        <f>+E13</f>
        <v>2409797.42</v>
      </c>
      <c r="C51" s="62" t="s">
        <v>2</v>
      </c>
    </row>
    <row r="52" spans="1:3" ht="17.25">
      <c r="A52" s="64">
        <f>+F13</f>
        <v>3178815</v>
      </c>
      <c r="B52" s="65">
        <f>+G13</f>
        <v>3180615.6</v>
      </c>
      <c r="C52" s="62" t="s">
        <v>3</v>
      </c>
    </row>
    <row r="53" spans="1:3" ht="17.25">
      <c r="A53" s="66">
        <f>+H13</f>
        <v>46400</v>
      </c>
      <c r="B53" s="65">
        <f>+I13</f>
        <v>90583.26</v>
      </c>
      <c r="C53" s="62" t="s">
        <v>35</v>
      </c>
    </row>
    <row r="54" spans="1:3" ht="17.25">
      <c r="A54" s="66">
        <f>+J13</f>
        <v>51500</v>
      </c>
      <c r="B54" s="65">
        <f>+K13</f>
        <v>132162.22999999998</v>
      </c>
      <c r="C54" s="62" t="s">
        <v>33</v>
      </c>
    </row>
    <row r="55" spans="1:3" ht="17.25">
      <c r="A55" s="64">
        <f>+L13</f>
        <v>978600</v>
      </c>
      <c r="B55" s="65">
        <f>+M13</f>
        <v>841253.79</v>
      </c>
      <c r="C55" s="62" t="s">
        <v>30</v>
      </c>
    </row>
    <row r="56" spans="1:3" ht="17.25">
      <c r="A56" s="64">
        <f>+N13</f>
        <v>775264</v>
      </c>
      <c r="B56" s="65">
        <f>+O13</f>
        <v>916852.2299999999</v>
      </c>
      <c r="C56" s="62" t="s">
        <v>36</v>
      </c>
    </row>
    <row r="57" spans="1:2" ht="17.25">
      <c r="A57" s="64"/>
      <c r="B57" s="64"/>
    </row>
    <row r="58" spans="1:2" ht="17.25">
      <c r="A58" s="64">
        <v>4568329</v>
      </c>
      <c r="B58" s="65">
        <v>1360852.79</v>
      </c>
    </row>
  </sheetData>
  <mergeCells count="10">
    <mergeCell ref="B2:D2"/>
    <mergeCell ref="J4:K4"/>
    <mergeCell ref="L4:M4"/>
    <mergeCell ref="L1:M1"/>
    <mergeCell ref="B1:E1"/>
    <mergeCell ref="N4:O4"/>
    <mergeCell ref="B4:C4"/>
    <mergeCell ref="D4:E4"/>
    <mergeCell ref="F4:G4"/>
    <mergeCell ref="H4:I4"/>
  </mergeCells>
  <printOptions/>
  <pageMargins left="0.66" right="0.46" top="0.84" bottom="0.25" header="0.34" footer="0"/>
  <pageSetup horizontalDpi="600" verticalDpi="600" orientation="landscape" paperSize="5" r:id="rId2"/>
  <headerFooter alignWithMargins="0">
    <oddHeader>&amp;R&amp;"Gill Sans MT Shadow,Regular"&amp;10CONTADURIA MUNICIPAL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Cipolletti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Municipal</dc:creator>
  <cp:keywords/>
  <dc:description/>
  <cp:lastModifiedBy>Maggi</cp:lastModifiedBy>
  <cp:lastPrinted>2010-10-19T12:39:34Z</cp:lastPrinted>
  <dcterms:created xsi:type="dcterms:W3CDTF">2000-04-26T12:06:38Z</dcterms:created>
  <dcterms:modified xsi:type="dcterms:W3CDTF">2010-10-19T12:39:35Z</dcterms:modified>
  <cp:category/>
  <cp:version/>
  <cp:contentType/>
  <cp:contentStatus/>
</cp:coreProperties>
</file>