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842" firstSheet="1" activeTab="12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  <sheet name="GENERAL II" sheetId="13" r:id="rId13"/>
  </sheets>
  <definedNames/>
  <calcPr fullCalcOnLoad="1"/>
</workbook>
</file>

<file path=xl/sharedStrings.xml><?xml version="1.0" encoding="utf-8"?>
<sst xmlns="http://schemas.openxmlformats.org/spreadsheetml/2006/main" count="617" uniqueCount="143">
  <si>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</si>
  <si>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</si>
  <si>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</si>
  <si>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</si>
  <si>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</si>
  <si>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</si>
  <si>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</si>
  <si>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</si>
  <si>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</si>
  <si>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</si>
  <si>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</si>
  <si>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</si>
  <si>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</si>
  <si>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</si>
  <si>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</si>
  <si>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</si>
  <si>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</si>
  <si>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</si>
  <si>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</si>
  <si>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</si>
  <si>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</si>
  <si>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</si>
  <si>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</si>
  <si>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</si>
  <si>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</si>
  <si>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</si>
  <si>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</si>
  <si>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</si>
  <si>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</si>
  <si>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</si>
  <si>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</si>
  <si>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</si>
  <si>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</si>
  <si>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</si>
  <si>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</si>
  <si>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</si>
  <si>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</si>
  <si>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</si>
  <si>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</si>
  <si>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</si>
  <si>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</si>
  <si>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</si>
  <si>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</si>
  <si>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</si>
  <si>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</si>
  <si>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</si>
  <si>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</si>
  <si>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</si>
  <si>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</si>
  <si>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</si>
  <si>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</si>
  <si>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</si>
  <si>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</si>
  <si>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</si>
  <si>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</si>
  <si>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</si>
  <si>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</si>
  <si>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</si>
  <si>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</si>
  <si>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</si>
  <si>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</si>
  <si>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</si>
  <si>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</si>
  <si>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</si>
  <si>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</si>
  <si>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</si>
  <si>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</si>
  <si>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</si>
  <si>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</si>
  <si>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</si>
  <si>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</si>
  <si>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</si>
  <si>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</si>
  <si>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</si>
  <si>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</si>
  <si>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</si>
  <si>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</si>
  <si>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</si>
  <si>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</si>
  <si>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</si>
  <si>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</si>
  <si>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</si>
  <si>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</si>
  <si>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</si>
  <si>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</si>
  <si>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</si>
  <si>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</si>
  <si>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</si>
  <si>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</si>
  <si>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</si>
  <si>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</si>
  <si>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</si>
  <si>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Area Artes Sonoras</t>
  </si>
  <si>
    <t>Centro Cultural</t>
  </si>
  <si>
    <t>Area Artes Visuales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</si>
  <si>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</si>
  <si>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</si>
  <si>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</si>
  <si>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</si>
  <si>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</si>
  <si>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</si>
  <si>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</si>
  <si>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</si>
  <si>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</si>
  <si>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</si>
  <si>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</si>
  <si>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</si>
  <si>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</si>
  <si>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</si>
  <si>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</si>
  <si>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</si>
  <si>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</si>
  <si>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</si>
  <si>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</si>
  <si>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</si>
  <si>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</si>
  <si>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</si>
  <si>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</si>
  <si>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</si>
  <si>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</si>
  <si>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</si>
  <si>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</si>
  <si>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Area Artes Dramáticas</t>
  </si>
  <si>
    <t>Artes del Movimiento</t>
  </si>
  <si>
    <t>Talleres Barriales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</si>
  <si>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</si>
  <si>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</si>
  <si>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</si>
  <si>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</si>
  <si>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</si>
  <si>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</si>
  <si>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</si>
  <si>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</si>
  <si>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</si>
  <si>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</si>
  <si>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</si>
  <si>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 xml:space="preserve">                TRANSF. CTES.</t>
  </si>
  <si>
    <t>COMPROMETIDO</t>
  </si>
  <si>
    <t xml:space="preserve">EJECUCION DEL GASTO + COMPROMETIDO (valores acumulados) </t>
  </si>
  <si>
    <t xml:space="preserve">CREDITO POR </t>
  </si>
  <si>
    <t>AREA  AJUSTADO</t>
  </si>
  <si>
    <t>Dir.Proy.Urbanisticos</t>
  </si>
  <si>
    <t>Bloque Frente p/la Victoria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</si>
</sst>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9">
    <font>
      <sz val="11"/>
      <name val="Garamond"/>
      <family val="0"/>
    </font>
    <font>
      <sz val="20.5"/>
      <name val="Garamond"/>
      <family val="0"/>
    </font>
    <font>
      <sz val="18.25"/>
      <name val="Garamond"/>
      <family val="0"/>
    </font>
    <font>
      <sz val="19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19.25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18.75"/>
      <name val="Garamond"/>
      <family val="0"/>
    </font>
    <font>
      <sz val="21"/>
      <name val="Garamond"/>
      <family val="0"/>
    </font>
    <font>
      <sz val="19.5"/>
      <name val="Garamond"/>
      <family val="0"/>
    </font>
    <font>
      <sz val="8"/>
      <name val="Garamond"/>
      <family val="0"/>
    </font>
    <font>
      <sz val="25"/>
      <name val="Garamond"/>
      <family val="0"/>
    </font>
    <font>
      <sz val="29.75"/>
      <name val="Garamond"/>
      <family val="0"/>
    </font>
    <font>
      <sz val="21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1.75"/>
      <name val="Trebuchet MS"/>
      <family val="2"/>
    </font>
    <font>
      <b/>
      <i/>
      <u val="single"/>
      <sz val="10.25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0.5"/>
      <name val="Trebuchet MS"/>
      <family val="2"/>
    </font>
    <font>
      <b/>
      <i/>
      <u val="single"/>
      <sz val="9.7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sz val="6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4.75"/>
      <name val="Trebuchet MS"/>
      <family val="2"/>
    </font>
    <font>
      <b/>
      <sz val="4.25"/>
      <name val="Trebuchet MS"/>
      <family val="2"/>
    </font>
    <font>
      <b/>
      <sz val="6.75"/>
      <name val="Trebuchet MS"/>
      <family val="2"/>
    </font>
    <font>
      <b/>
      <sz val="5.5"/>
      <name val="Trebuchet MS"/>
      <family val="2"/>
    </font>
    <font>
      <b/>
      <sz val="4"/>
      <name val="Trebuchet MS"/>
      <family val="2"/>
    </font>
    <font>
      <b/>
      <sz val="4.5"/>
      <name val="Trebuchet MS"/>
      <family val="2"/>
    </font>
    <font>
      <b/>
      <sz val="6"/>
      <name val="Trebuchet MS"/>
      <family val="2"/>
    </font>
    <font>
      <b/>
      <sz val="5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u val="single"/>
      <sz val="11"/>
      <name val="Garamond"/>
      <family val="1"/>
    </font>
    <font>
      <b/>
      <sz val="3.75"/>
      <name val="Trebuchet MS"/>
      <family val="2"/>
    </font>
    <font>
      <b/>
      <sz val="5.25"/>
      <name val="Trebuchet MS"/>
      <family val="2"/>
    </font>
    <font>
      <b/>
      <sz val="8"/>
      <color indexed="9"/>
      <name val="Trebuchet MS"/>
      <family val="2"/>
    </font>
    <font>
      <sz val="9"/>
      <color indexed="9"/>
      <name val="Trebuchet MS"/>
      <family val="2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26" fillId="0" borderId="0" xfId="0" applyNumberFormat="1" applyFont="1" applyAlignment="1">
      <alignment/>
    </xf>
    <xf numFmtId="0" fontId="27" fillId="0" borderId="4" xfId="0" applyFont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7" xfId="0" applyFont="1" applyBorder="1" applyAlignment="1">
      <alignment/>
    </xf>
    <xf numFmtId="9" fontId="26" fillId="0" borderId="0" xfId="0" applyNumberFormat="1" applyFont="1" applyAlignment="1">
      <alignment/>
    </xf>
    <xf numFmtId="4" fontId="16" fillId="0" borderId="8" xfId="0" applyNumberFormat="1" applyFont="1" applyBorder="1" applyAlignment="1">
      <alignment/>
    </xf>
    <xf numFmtId="10" fontId="16" fillId="0" borderId="8" xfId="0" applyNumberFormat="1" applyFont="1" applyBorder="1" applyAlignment="1">
      <alignment/>
    </xf>
    <xf numFmtId="10" fontId="16" fillId="0" borderId="9" xfId="0" applyNumberFormat="1" applyFont="1" applyBorder="1" applyAlignment="1">
      <alignment/>
    </xf>
    <xf numFmtId="10" fontId="16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4" fontId="16" fillId="0" borderId="13" xfId="0" applyNumberFormat="1" applyFont="1" applyBorder="1" applyAlignment="1">
      <alignment/>
    </xf>
    <xf numFmtId="17" fontId="3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17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36" fillId="0" borderId="20" xfId="0" applyFont="1" applyBorder="1" applyAlignment="1">
      <alignment/>
    </xf>
    <xf numFmtId="3" fontId="36" fillId="0" borderId="21" xfId="0" applyNumberFormat="1" applyFont="1" applyBorder="1" applyAlignment="1">
      <alignment/>
    </xf>
    <xf numFmtId="4" fontId="37" fillId="0" borderId="22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0" fontId="36" fillId="0" borderId="21" xfId="0" applyFont="1" applyBorder="1" applyAlignment="1">
      <alignment/>
    </xf>
    <xf numFmtId="4" fontId="26" fillId="0" borderId="22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0" fontId="25" fillId="0" borderId="24" xfId="0" applyFont="1" applyBorder="1" applyAlignment="1">
      <alignment/>
    </xf>
    <xf numFmtId="3" fontId="16" fillId="0" borderId="25" xfId="0" applyNumberFormat="1" applyFont="1" applyBorder="1" applyAlignment="1">
      <alignment/>
    </xf>
    <xf numFmtId="4" fontId="37" fillId="0" borderId="26" xfId="0" applyNumberFormat="1" applyFont="1" applyBorder="1" applyAlignment="1">
      <alignment/>
    </xf>
    <xf numFmtId="4" fontId="37" fillId="0" borderId="25" xfId="0" applyNumberFormat="1" applyFont="1" applyBorder="1" applyAlignment="1">
      <alignment/>
    </xf>
    <xf numFmtId="4" fontId="37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9" fontId="26" fillId="0" borderId="30" xfId="19" applyFont="1" applyBorder="1" applyAlignment="1">
      <alignment/>
    </xf>
    <xf numFmtId="9" fontId="26" fillId="0" borderId="30" xfId="19" applyNumberFormat="1" applyFont="1" applyBorder="1" applyAlignment="1">
      <alignment/>
    </xf>
    <xf numFmtId="9" fontId="26" fillId="0" borderId="31" xfId="19" applyFont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171" fontId="37" fillId="0" borderId="0" xfId="15" applyFont="1" applyAlignment="1">
      <alignment/>
    </xf>
    <xf numFmtId="17" fontId="35" fillId="0" borderId="0" xfId="0" applyNumberFormat="1" applyFont="1" applyAlignment="1">
      <alignment/>
    </xf>
    <xf numFmtId="3" fontId="37" fillId="0" borderId="21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3" fontId="36" fillId="0" borderId="2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42" fillId="0" borderId="0" xfId="0" applyFont="1" applyAlignment="1">
      <alignment/>
    </xf>
    <xf numFmtId="17" fontId="43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16" fillId="0" borderId="32" xfId="0" applyFont="1" applyBorder="1" applyAlignment="1">
      <alignment horizontal="center"/>
    </xf>
    <xf numFmtId="3" fontId="37" fillId="0" borderId="22" xfId="0" applyNumberFormat="1" applyFont="1" applyBorder="1" applyAlignment="1">
      <alignment/>
    </xf>
    <xf numFmtId="3" fontId="16" fillId="0" borderId="25" xfId="15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36" fillId="0" borderId="21" xfId="0" applyNumberFormat="1" applyFont="1" applyFill="1" applyBorder="1" applyAlignment="1">
      <alignment/>
    </xf>
    <xf numFmtId="4" fontId="37" fillId="0" borderId="22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4" fontId="37" fillId="0" borderId="21" xfId="0" applyNumberFormat="1" applyFont="1" applyFill="1" applyBorder="1" applyAlignment="1">
      <alignment/>
    </xf>
    <xf numFmtId="0" fontId="36" fillId="0" borderId="21" xfId="0" applyFont="1" applyFill="1" applyBorder="1" applyAlignment="1">
      <alignment/>
    </xf>
    <xf numFmtId="4" fontId="36" fillId="0" borderId="23" xfId="0" applyNumberFormat="1" applyFont="1" applyBorder="1" applyAlignment="1">
      <alignment/>
    </xf>
    <xf numFmtId="17" fontId="26" fillId="0" borderId="0" xfId="0" applyNumberFormat="1" applyFont="1" applyAlignment="1">
      <alignment/>
    </xf>
    <xf numFmtId="0" fontId="37" fillId="0" borderId="20" xfId="0" applyFont="1" applyBorder="1" applyAlignment="1">
      <alignment/>
    </xf>
    <xf numFmtId="4" fontId="37" fillId="0" borderId="33" xfId="0" applyNumberFormat="1" applyFont="1" applyBorder="1" applyAlignment="1">
      <alignment/>
    </xf>
    <xf numFmtId="0" fontId="25" fillId="0" borderId="25" xfId="0" applyFont="1" applyBorder="1" applyAlignment="1">
      <alignment/>
    </xf>
    <xf numFmtId="9" fontId="26" fillId="0" borderId="26" xfId="19" applyFont="1" applyBorder="1" applyAlignment="1">
      <alignment/>
    </xf>
    <xf numFmtId="9" fontId="26" fillId="0" borderId="34" xfId="19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0" fontId="26" fillId="0" borderId="26" xfId="19" applyNumberFormat="1" applyFont="1" applyBorder="1" applyAlignment="1">
      <alignment/>
    </xf>
    <xf numFmtId="4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1" fillId="0" borderId="0" xfId="0" applyFont="1" applyFill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" fontId="25" fillId="0" borderId="25" xfId="0" applyNumberFormat="1" applyFont="1" applyBorder="1" applyAlignment="1">
      <alignment/>
    </xf>
    <xf numFmtId="3" fontId="36" fillId="0" borderId="22" xfId="0" applyNumberFormat="1" applyFont="1" applyFill="1" applyBorder="1" applyAlignment="1">
      <alignment/>
    </xf>
    <xf numFmtId="4" fontId="37" fillId="0" borderId="35" xfId="0" applyNumberFormat="1" applyFont="1" applyBorder="1" applyAlignment="1">
      <alignment/>
    </xf>
    <xf numFmtId="10" fontId="37" fillId="0" borderId="35" xfId="0" applyNumberFormat="1" applyFont="1" applyBorder="1" applyAlignment="1">
      <alignment/>
    </xf>
    <xf numFmtId="4" fontId="37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4" fontId="37" fillId="0" borderId="43" xfId="0" applyNumberFormat="1" applyFont="1" applyBorder="1" applyAlignment="1">
      <alignment/>
    </xf>
    <xf numFmtId="4" fontId="37" fillId="0" borderId="44" xfId="0" applyNumberFormat="1" applyFont="1" applyBorder="1" applyAlignment="1">
      <alignment/>
    </xf>
    <xf numFmtId="0" fontId="25" fillId="0" borderId="45" xfId="0" applyFont="1" applyBorder="1" applyAlignment="1">
      <alignment/>
    </xf>
    <xf numFmtId="9" fontId="26" fillId="0" borderId="46" xfId="19" applyFont="1" applyBorder="1" applyAlignment="1">
      <alignment/>
    </xf>
    <xf numFmtId="9" fontId="26" fillId="0" borderId="47" xfId="19" applyFont="1" applyBorder="1" applyAlignment="1">
      <alignment/>
    </xf>
    <xf numFmtId="3" fontId="16" fillId="0" borderId="48" xfId="0" applyNumberFormat="1" applyFont="1" applyBorder="1" applyAlignment="1">
      <alignment/>
    </xf>
    <xf numFmtId="4" fontId="37" fillId="0" borderId="49" xfId="0" applyNumberFormat="1" applyFont="1" applyBorder="1" applyAlignment="1">
      <alignment/>
    </xf>
    <xf numFmtId="4" fontId="37" fillId="0" borderId="48" xfId="0" applyNumberFormat="1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17" fontId="45" fillId="0" borderId="0" xfId="0" applyNumberFormat="1" applyFont="1" applyFill="1" applyAlignment="1">
      <alignment horizontal="center"/>
    </xf>
    <xf numFmtId="17" fontId="46" fillId="0" borderId="0" xfId="0" applyNumberFormat="1" applyFont="1" applyAlignment="1">
      <alignment/>
    </xf>
    <xf numFmtId="0" fontId="16" fillId="0" borderId="54" xfId="0" applyFont="1" applyBorder="1" applyAlignment="1">
      <alignment horizontal="center"/>
    </xf>
    <xf numFmtId="17" fontId="45" fillId="0" borderId="0" xfId="0" applyNumberFormat="1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4" fontId="37" fillId="0" borderId="55" xfId="0" applyNumberFormat="1" applyFont="1" applyBorder="1" applyAlignment="1">
      <alignment/>
    </xf>
    <xf numFmtId="4" fontId="37" fillId="0" borderId="56" xfId="0" applyNumberFormat="1" applyFont="1" applyBorder="1" applyAlignment="1">
      <alignment/>
    </xf>
    <xf numFmtId="4" fontId="37" fillId="0" borderId="57" xfId="0" applyNumberFormat="1" applyFont="1" applyBorder="1" applyAlignment="1">
      <alignment/>
    </xf>
    <xf numFmtId="10" fontId="26" fillId="0" borderId="30" xfId="19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10" fontId="26" fillId="0" borderId="58" xfId="19" applyNumberFormat="1" applyFont="1" applyBorder="1" applyAlignment="1">
      <alignment/>
    </xf>
    <xf numFmtId="9" fontId="26" fillId="0" borderId="59" xfId="19" applyFont="1" applyBorder="1" applyAlignment="1">
      <alignment/>
    </xf>
    <xf numFmtId="10" fontId="26" fillId="0" borderId="46" xfId="19" applyNumberFormat="1" applyFont="1" applyBorder="1" applyAlignment="1">
      <alignment/>
    </xf>
    <xf numFmtId="10" fontId="26" fillId="0" borderId="60" xfId="19" applyNumberFormat="1" applyFont="1" applyBorder="1" applyAlignment="1">
      <alignment/>
    </xf>
    <xf numFmtId="10" fontId="26" fillId="0" borderId="61" xfId="19" applyNumberFormat="1" applyFont="1" applyBorder="1" applyAlignment="1">
      <alignment/>
    </xf>
    <xf numFmtId="0" fontId="16" fillId="0" borderId="0" xfId="0" applyFont="1" applyAlignment="1">
      <alignment horizontal="right"/>
    </xf>
    <xf numFmtId="10" fontId="26" fillId="0" borderId="31" xfId="19" applyNumberFormat="1" applyFont="1" applyBorder="1" applyAlignment="1">
      <alignment/>
    </xf>
    <xf numFmtId="10" fontId="26" fillId="0" borderId="34" xfId="19" applyNumberFormat="1" applyFont="1" applyBorder="1" applyAlignment="1">
      <alignment/>
    </xf>
    <xf numFmtId="10" fontId="26" fillId="0" borderId="62" xfId="19" applyNumberFormat="1" applyFont="1" applyBorder="1" applyAlignment="1">
      <alignment/>
    </xf>
    <xf numFmtId="17" fontId="59" fillId="0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4" fontId="37" fillId="0" borderId="63" xfId="0" applyNumberFormat="1" applyFont="1" applyBorder="1" applyAlignment="1">
      <alignment/>
    </xf>
    <xf numFmtId="0" fontId="16" fillId="10" borderId="64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65" xfId="0" applyFont="1" applyFill="1" applyBorder="1" applyAlignment="1">
      <alignment horizontal="center"/>
    </xf>
    <xf numFmtId="0" fontId="16" fillId="10" borderId="66" xfId="0" applyFont="1" applyFill="1" applyBorder="1" applyAlignment="1">
      <alignment horizontal="center"/>
    </xf>
    <xf numFmtId="0" fontId="63" fillId="11" borderId="67" xfId="0" applyFont="1" applyFill="1" applyBorder="1" applyAlignment="1">
      <alignment/>
    </xf>
    <xf numFmtId="2" fontId="26" fillId="0" borderId="0" xfId="0" applyNumberFormat="1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3" fontId="34" fillId="0" borderId="0" xfId="0" applyNumberFormat="1" applyFont="1" applyAlignment="1">
      <alignment/>
    </xf>
    <xf numFmtId="0" fontId="46" fillId="0" borderId="0" xfId="0" applyFont="1" applyFill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6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49" fillId="0" borderId="0" xfId="0" applyFont="1" applyFill="1" applyAlignment="1">
      <alignment horizontal="center" wrapText="1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Fill="1" applyAlignment="1">
      <alignment horizontal="center" wrapText="1"/>
    </xf>
    <xf numFmtId="0" fontId="6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12" borderId="71" xfId="0" applyFont="1" applyFill="1" applyBorder="1" applyAlignment="1">
      <alignment horizontal="center"/>
    </xf>
    <xf numFmtId="0" fontId="16" fillId="12" borderId="72" xfId="0" applyFont="1" applyFill="1" applyBorder="1" applyAlignment="1">
      <alignment horizontal="center"/>
    </xf>
    <xf numFmtId="0" fontId="16" fillId="12" borderId="73" xfId="0" applyFont="1" applyFill="1" applyBorder="1" applyAlignment="1">
      <alignment horizontal="center"/>
    </xf>
    <xf numFmtId="0" fontId="67" fillId="0" borderId="0" xfId="0" applyFont="1" applyBorder="1" applyAlignment="1">
      <alignment/>
    </xf>
    <xf numFmtId="3" fontId="67" fillId="0" borderId="0" xfId="0" applyNumberFormat="1" applyFont="1" applyBorder="1" applyAlignment="1">
      <alignment/>
    </xf>
    <xf numFmtId="1" fontId="67" fillId="0" borderId="0" xfId="19" applyNumberFormat="1" applyFont="1" applyBorder="1" applyAlignment="1">
      <alignment/>
    </xf>
    <xf numFmtId="1" fontId="41" fillId="0" borderId="0" xfId="19" applyNumberFormat="1" applyFont="1" applyBorder="1" applyAlignment="1">
      <alignment/>
    </xf>
    <xf numFmtId="9" fontId="41" fillId="0" borderId="0" xfId="19" applyFont="1" applyBorder="1" applyAlignment="1">
      <alignment/>
    </xf>
    <xf numFmtId="4" fontId="6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8"/>
                </a:gs>
                <a:gs pos="50000">
                  <a:srgbClr val="666699"/>
                </a:gs>
                <a:gs pos="100000">
                  <a:srgbClr val="30304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1A1A1"/>
                </a:gs>
                <a:gs pos="50000">
                  <a:srgbClr val="CCFFFF"/>
                </a:gs>
                <a:gs pos="100000">
                  <a:srgbClr val="81A1A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23232870"/>
        <c:axId val="7769239"/>
      </c:bar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  <c:max val="19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2323287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9365"/>
          <c:w val="0.4847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"/>
          <c:w val="0.98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CULTURA!$A$52:$A$58</c:f>
              <c:numCache/>
            </c:numRef>
          </c:val>
        </c:ser>
        <c:ser>
          <c:idx val="1"/>
          <c:order val="1"/>
          <c:tx>
            <c:strRef>
              <c:f>CULTURA!$B$51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CULTURA!$B$52:$B$58</c:f>
              <c:numCache/>
            </c:numRef>
          </c:val>
        </c:ser>
        <c:axId val="62439712"/>
        <c:axId val="25086497"/>
      </c:bar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  <c:max val="1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62439712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3175"/>
          <c:w val="0.495"/>
          <c:h val="0.055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7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24451882"/>
        <c:axId val="18740347"/>
      </c:bar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  <c:max val="1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24451882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4525"/>
          <c:w val="0.481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34445396"/>
        <c:axId val="41573109"/>
      </c:bar3D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41573109"/>
        <c:crosses val="autoZero"/>
        <c:auto val="1"/>
        <c:lblOffset val="100"/>
        <c:noMultiLvlLbl val="0"/>
      </c:catAx>
      <c:valAx>
        <c:axId val="41573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44453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I'!$E$61:$E$71</c:f>
              <c:numCache>
                <c:ptCount val="11"/>
                <c:pt idx="0">
                  <c:v>0.2160156789542336</c:v>
                </c:pt>
                <c:pt idx="1">
                  <c:v>0.4003866080005972</c:v>
                </c:pt>
                <c:pt idx="2">
                  <c:v>0.47530360273390304</c:v>
                </c:pt>
                <c:pt idx="3">
                  <c:v>0.3629825897102615</c:v>
                </c:pt>
                <c:pt idx="4">
                  <c:v>0.1257956848305748</c:v>
                </c:pt>
                <c:pt idx="5">
                  <c:v>0.5487006528511276</c:v>
                </c:pt>
                <c:pt idx="6">
                  <c:v>0.47081855454417715</c:v>
                </c:pt>
                <c:pt idx="7">
                  <c:v>0.5285601616099032</c:v>
                </c:pt>
                <c:pt idx="8">
                  <c:v>0.5273547370119669</c:v>
                </c:pt>
                <c:pt idx="9">
                  <c:v>0.4025895907319674</c:v>
                </c:pt>
                <c:pt idx="10">
                  <c:v>0.23585095181411037</c:v>
                </c:pt>
              </c:numCache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I'!$F$61:$F$71</c:f>
              <c:numCache>
                <c:ptCount val="11"/>
                <c:pt idx="0">
                  <c:v>0.004234187446221529</c:v>
                </c:pt>
                <c:pt idx="1">
                  <c:v>0.011079021175411617</c:v>
                </c:pt>
                <c:pt idx="2">
                  <c:v>0.07680167341742984</c:v>
                </c:pt>
                <c:pt idx="3">
                  <c:v>0.005613659593016175</c:v>
                </c:pt>
                <c:pt idx="4">
                  <c:v>0.017127945726735063</c:v>
                </c:pt>
                <c:pt idx="5">
                  <c:v>0.022064902259642243</c:v>
                </c:pt>
                <c:pt idx="6">
                  <c:v>0.011801121016721573</c:v>
                </c:pt>
                <c:pt idx="7">
                  <c:v>0.00021771728163193303</c:v>
                </c:pt>
                <c:pt idx="8">
                  <c:v>0.13882857253619246</c:v>
                </c:pt>
                <c:pt idx="9">
                  <c:v>0.009338943781643629</c:v>
                </c:pt>
                <c:pt idx="10">
                  <c:v>0.008735870127357756</c:v>
                </c:pt>
              </c:numCache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I'!$G$61:$G$71</c:f>
              <c:numCache>
                <c:ptCount val="11"/>
                <c:pt idx="0">
                  <c:v>0.15013101231619072</c:v>
                </c:pt>
                <c:pt idx="1">
                  <c:v>0.19944539616902768</c:v>
                </c:pt>
                <c:pt idx="2">
                  <c:v>0.18112422482566914</c:v>
                </c:pt>
                <c:pt idx="3">
                  <c:v>0.13051277755864016</c:v>
                </c:pt>
                <c:pt idx="4">
                  <c:v>0.04962147425246053</c:v>
                </c:pt>
                <c:pt idx="5">
                  <c:v>0.16311922199364873</c:v>
                </c:pt>
                <c:pt idx="6">
                  <c:v>0.041072947274742776</c:v>
                </c:pt>
                <c:pt idx="7">
                  <c:v>0.09348205661079594</c:v>
                </c:pt>
                <c:pt idx="8">
                  <c:v>0.1568438867529516</c:v>
                </c:pt>
                <c:pt idx="9">
                  <c:v>0.36866805817297227</c:v>
                </c:pt>
                <c:pt idx="10">
                  <c:v>0.24183135746366677</c:v>
                </c:pt>
              </c:numCache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I'!$H$61:$H$71</c:f>
              <c:numCache>
                <c:ptCount val="11"/>
                <c:pt idx="0">
                  <c:v>0.2658924790229306</c:v>
                </c:pt>
                <c:pt idx="1">
                  <c:v>0.0851800935369577</c:v>
                </c:pt>
                <c:pt idx="2">
                  <c:v>0.0001013834666176321</c:v>
                </c:pt>
                <c:pt idx="3">
                  <c:v>0.37259892841235775</c:v>
                </c:pt>
                <c:pt idx="4">
                  <c:v>0.0014253263761730057</c:v>
                </c:pt>
                <c:pt idx="5">
                  <c:v>0</c:v>
                </c:pt>
                <c:pt idx="6">
                  <c:v>0.10534480163624725</c:v>
                </c:pt>
                <c:pt idx="7">
                  <c:v>0</c:v>
                </c:pt>
                <c:pt idx="8">
                  <c:v>0.0049790783264352205</c:v>
                </c:pt>
                <c:pt idx="9">
                  <c:v>0.10259840026829045</c:v>
                </c:pt>
                <c:pt idx="10">
                  <c:v>0.21702871914443986</c:v>
                </c:pt>
              </c:numCache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I'!$I$61:$I$71</c:f>
              <c:numCache>
                <c:ptCount val="11"/>
                <c:pt idx="0">
                  <c:v>0.0016225234969635316</c:v>
                </c:pt>
                <c:pt idx="1">
                  <c:v>0.01665202607977147</c:v>
                </c:pt>
                <c:pt idx="2">
                  <c:v>0.022696277233611593</c:v>
                </c:pt>
                <c:pt idx="3">
                  <c:v>0.0031686800110747705</c:v>
                </c:pt>
                <c:pt idx="4">
                  <c:v>0.008390960722760868</c:v>
                </c:pt>
                <c:pt idx="5">
                  <c:v>0.0049749655496049506</c:v>
                </c:pt>
                <c:pt idx="6">
                  <c:v>0.003795550281815485</c:v>
                </c:pt>
                <c:pt idx="7">
                  <c:v>0.017795612523476678</c:v>
                </c:pt>
                <c:pt idx="8">
                  <c:v>0.00824832902206282</c:v>
                </c:pt>
                <c:pt idx="9">
                  <c:v>0.0009198832736437195</c:v>
                </c:pt>
                <c:pt idx="10">
                  <c:v>0.019621716032222767</c:v>
                </c:pt>
              </c:numCache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I'!$J$61:$J$71</c:f>
              <c:numCache>
                <c:ptCount val="11"/>
                <c:pt idx="0">
                  <c:v>0.012727108531944985</c:v>
                </c:pt>
                <c:pt idx="1">
                  <c:v>0.019005754654835148</c:v>
                </c:pt>
                <c:pt idx="2">
                  <c:v>0.00026355359720049053</c:v>
                </c:pt>
                <c:pt idx="3">
                  <c:v>0.0010635497551428677</c:v>
                </c:pt>
                <c:pt idx="4">
                  <c:v>0.7267843567164357</c:v>
                </c:pt>
                <c:pt idx="5">
                  <c:v>0.0013297107500699935</c:v>
                </c:pt>
                <c:pt idx="6">
                  <c:v>0</c:v>
                </c:pt>
                <c:pt idx="7">
                  <c:v>0</c:v>
                </c:pt>
                <c:pt idx="8">
                  <c:v>0.045005560952675785</c:v>
                </c:pt>
                <c:pt idx="9">
                  <c:v>0.010652756609029276</c:v>
                </c:pt>
                <c:pt idx="10">
                  <c:v>0.002839927256858421</c:v>
                </c:pt>
              </c:numCache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I'!$K$61:$K$71</c:f>
              <c:numCache>
                <c:ptCount val="11"/>
                <c:pt idx="0">
                  <c:v>0.03247807232611185</c:v>
                </c:pt>
                <c:pt idx="1">
                  <c:v>0.03406896363562775</c:v>
                </c:pt>
                <c:pt idx="2">
                  <c:v>0.050188032449065646</c:v>
                </c:pt>
                <c:pt idx="3">
                  <c:v>0.03684664046160181</c:v>
                </c:pt>
                <c:pt idx="4">
                  <c:v>0.01919952848070959</c:v>
                </c:pt>
                <c:pt idx="5">
                  <c:v>0.05261201398194346</c:v>
                </c:pt>
                <c:pt idx="6">
                  <c:v>0.03422557729238552</c:v>
                </c:pt>
                <c:pt idx="7">
                  <c:v>0.041700690370313</c:v>
                </c:pt>
                <c:pt idx="8">
                  <c:v>0.042933955121999164</c:v>
                </c:pt>
                <c:pt idx="9">
                  <c:v>0.038793584680416555</c:v>
                </c:pt>
                <c:pt idx="10">
                  <c:v>0.033957863291890954</c:v>
                </c:pt>
              </c:numCache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I'!$L$61:$L$71</c:f>
              <c:numCache>
                <c:ptCount val="11"/>
                <c:pt idx="0">
                  <c:v>0.31689893790540313</c:v>
                </c:pt>
                <c:pt idx="1">
                  <c:v>0.23418213674777136</c:v>
                </c:pt>
                <c:pt idx="2">
                  <c:v>0.19352125227650271</c:v>
                </c:pt>
                <c:pt idx="3">
                  <c:v>0.08721317449790512</c:v>
                </c:pt>
                <c:pt idx="4">
                  <c:v>0.05165472289415046</c:v>
                </c:pt>
                <c:pt idx="5">
                  <c:v>0.207198532613963</c:v>
                </c:pt>
                <c:pt idx="6">
                  <c:v>0.33294144795391023</c:v>
                </c:pt>
                <c:pt idx="7">
                  <c:v>0.31824376160387924</c:v>
                </c:pt>
                <c:pt idx="8">
                  <c:v>0.07580588027571603</c:v>
                </c:pt>
                <c:pt idx="9">
                  <c:v>0.0664387824820368</c:v>
                </c:pt>
                <c:pt idx="10">
                  <c:v>0.24013359486945324</c:v>
                </c:pt>
              </c:numCache>
            </c:numRef>
          </c:val>
          <c:shape val="cylinder"/>
        </c:ser>
        <c:overlap val="100"/>
        <c:shape val="cylinder"/>
        <c:axId val="38613662"/>
        <c:axId val="11978639"/>
      </c:bar3D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11978639"/>
        <c:crosses val="autoZero"/>
        <c:auto val="1"/>
        <c:lblOffset val="100"/>
        <c:noMultiLvlLbl val="0"/>
      </c:catAx>
      <c:valAx>
        <c:axId val="11978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86136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GOB!$A$52:$A$58</c:f>
              <c:numCache/>
            </c:numRef>
          </c:val>
        </c:ser>
        <c:ser>
          <c:idx val="1"/>
          <c:order val="1"/>
          <c:tx>
            <c:strRef>
              <c:f>GOB!$B$51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GOB!$B$52:$B$58</c:f>
              <c:numCache/>
            </c:numRef>
          </c:val>
        </c:ser>
        <c:axId val="2814288"/>
        <c:axId val="25328593"/>
      </c:bar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1" i="0" u="none" baseline="0"/>
            </a:pPr>
          </a:p>
        </c:txPr>
        <c:crossAx val="25328593"/>
        <c:crosses val="autoZero"/>
        <c:auto val="1"/>
        <c:lblOffset val="100"/>
        <c:noMultiLvlLbl val="0"/>
      </c:catAx>
      <c:valAx>
        <c:axId val="25328593"/>
        <c:scaling>
          <c:orientation val="minMax"/>
          <c:max val="5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/>
            </a:pPr>
          </a:p>
        </c:txPr>
        <c:crossAx val="281428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2"/>
          <c:w val="0.5065"/>
          <c:h val="0.058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26630746"/>
        <c:axId val="38350123"/>
      </c:bar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38350123"/>
        <c:crosses val="autoZero"/>
        <c:auto val="1"/>
        <c:lblOffset val="100"/>
        <c:noMultiLvlLbl val="0"/>
      </c:catAx>
      <c:valAx>
        <c:axId val="38350123"/>
        <c:scaling>
          <c:orientation val="minMax"/>
          <c:max val="4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26630746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3175"/>
          <c:w val="0.4705"/>
          <c:h val="0.06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925"/>
          <c:w val="0.99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9606788"/>
        <c:axId val="19352229"/>
      </c:bar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19352229"/>
        <c:crosses val="autoZero"/>
        <c:auto val="1"/>
        <c:lblOffset val="100"/>
        <c:noMultiLvlLbl val="0"/>
      </c:catAx>
      <c:valAx>
        <c:axId val="19352229"/>
        <c:scaling>
          <c:orientation val="minMax"/>
          <c:max val="8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9606788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25"/>
          <c:y val="0.94025"/>
          <c:w val="0.510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4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39952334"/>
        <c:axId val="24026687"/>
      </c:bar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/>
            </a:pPr>
          </a:p>
        </c:txPr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  <c:max val="16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39952334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355"/>
          <c:w val="0.5225"/>
          <c:h val="0.052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6"/>
                  </a:gs>
                  <a:gs pos="5000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14913592"/>
        <c:axId val="4601"/>
      </c:bar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4601"/>
        <c:crosses val="autoZero"/>
        <c:auto val="1"/>
        <c:lblOffset val="100"/>
        <c:noMultiLvlLbl val="0"/>
      </c:catAx>
      <c:valAx>
        <c:axId val="4601"/>
        <c:scaling>
          <c:orientation val="minMax"/>
          <c:max val="94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14913592"/>
        <c:crossesAt val="1"/>
        <c:crossBetween val="between"/>
        <c:dispUnits/>
        <c:majorUnit val="7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"/>
          <c:y val="0.93425"/>
          <c:w val="0.456"/>
          <c:h val="0.053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41410"/>
        <c:axId val="372691"/>
      </c:bar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372691"/>
        <c:crosses val="autoZero"/>
        <c:auto val="1"/>
        <c:lblOffset val="100"/>
        <c:noMultiLvlLbl val="0"/>
      </c:catAx>
      <c:valAx>
        <c:axId val="372691"/>
        <c:scaling>
          <c:orientation val="minMax"/>
          <c:max val="11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41410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"/>
          <c:w val="0.5195"/>
          <c:h val="0.060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3354220"/>
        <c:axId val="30187981"/>
      </c:barChart>
      <c:catAx>
        <c:axId val="33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30187981"/>
        <c:crosses val="autoZero"/>
        <c:auto val="1"/>
        <c:lblOffset val="100"/>
        <c:noMultiLvlLbl val="0"/>
      </c:catAx>
      <c:valAx>
        <c:axId val="30187981"/>
        <c:scaling>
          <c:orientation val="minMax"/>
          <c:max val="3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354220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22"/>
          <c:w val="0.61525"/>
          <c:h val="0.0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3256374"/>
        <c:axId val="29307367"/>
      </c:bar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29307367"/>
        <c:crosses val="autoZero"/>
        <c:auto val="1"/>
        <c:lblOffset val="100"/>
        <c:noMultiLvlLbl val="0"/>
      </c:catAx>
      <c:valAx>
        <c:axId val="29307367"/>
        <c:scaling>
          <c:orientation val="minMax"/>
          <c:max val="153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256374"/>
        <c:crossesAt val="1"/>
        <c:crossBetween val="between"/>
        <c:dispUnits/>
        <c:majorUnit val="1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3425"/>
          <c:w val="0.514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076450" y="3286125"/>
        <a:ext cx="6610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57150</xdr:rowOff>
    </xdr:from>
    <xdr:to>
      <xdr:col>13</xdr:col>
      <xdr:colOff>409575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466975" y="3771900"/>
        <a:ext cx="67056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676400" y="2714625"/>
        <a:ext cx="68961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8010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</xdr:row>
      <xdr:rowOff>9525</xdr:rowOff>
    </xdr:from>
    <xdr:to>
      <xdr:col>10</xdr:col>
      <xdr:colOff>276225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76300" y="3876675"/>
        <a:ext cx="8181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19</xdr:row>
      <xdr:rowOff>104775</xdr:rowOff>
    </xdr:from>
    <xdr:to>
      <xdr:col>12</xdr:col>
      <xdr:colOff>114300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809750" y="4029075"/>
        <a:ext cx="6629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43125" y="3657600"/>
        <a:ext cx="6705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161925</xdr:rowOff>
    </xdr:from>
    <xdr:to>
      <xdr:col>12</xdr:col>
      <xdr:colOff>371475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105025" y="3219450"/>
        <a:ext cx="65055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952625" y="3352800"/>
        <a:ext cx="66294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257425" y="3190875"/>
        <a:ext cx="62674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133600" y="3133725"/>
        <a:ext cx="6191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133475" y="3200400"/>
        <a:ext cx="5705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857375" y="3152775"/>
        <a:ext cx="6924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workbookViewId="0" topLeftCell="J1">
      <selection activeCell="P14" sqref="A14:P1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2.00390625" style="1" customWidth="1"/>
    <col min="4" max="4" width="6.7109375" style="1" customWidth="1"/>
    <col min="5" max="5" width="10.140625" style="1" customWidth="1"/>
    <col min="6" max="6" width="9.00390625" style="1" customWidth="1"/>
    <col min="7" max="7" width="10.7109375" style="1" customWidth="1"/>
    <col min="8" max="8" width="9.28125" style="1" customWidth="1"/>
    <col min="9" max="9" width="12.28125" style="1" customWidth="1"/>
    <col min="10" max="10" width="9.28125" style="1" customWidth="1"/>
    <col min="11" max="11" width="9.421875" style="1" customWidth="1"/>
    <col min="12" max="12" width="7.28125" style="1" customWidth="1"/>
    <col min="13" max="13" width="10.00390625" style="1" customWidth="1"/>
    <col min="14" max="14" width="8.7109375" style="1" customWidth="1"/>
    <col min="15" max="15" width="10.28125" style="1" customWidth="1"/>
    <col min="16" max="16" width="12.421875" style="1" customWidth="1"/>
    <col min="17" max="17" width="12.140625" style="1" customWidth="1"/>
    <col min="18" max="18" width="13.8515625" style="1" bestFit="1" customWidth="1"/>
    <col min="19" max="19" width="11.8515625" style="1" bestFit="1" customWidth="1"/>
    <col min="20" max="16384" width="11.421875" style="1" customWidth="1"/>
  </cols>
  <sheetData>
    <row r="2" spans="1:15" ht="18">
      <c r="A2" s="144" t="s">
        <v>0</v>
      </c>
      <c r="B2" s="164" t="s">
        <v>105</v>
      </c>
      <c r="C2" s="164"/>
      <c r="D2" s="165"/>
      <c r="E2" s="165"/>
      <c r="L2" s="163" t="s">
        <v>23</v>
      </c>
      <c r="M2" s="163"/>
      <c r="N2" s="148">
        <v>40787</v>
      </c>
      <c r="O2" s="23"/>
    </row>
    <row r="3" spans="2:5" ht="16.5">
      <c r="B3" s="166"/>
      <c r="C3" s="166"/>
      <c r="E3" s="22"/>
    </row>
    <row r="4" spans="3:5" ht="17.25" thickBot="1">
      <c r="C4" s="24"/>
      <c r="D4" s="24"/>
      <c r="E4" s="22"/>
    </row>
    <row r="5" spans="1:17" ht="18" thickTop="1">
      <c r="A5" s="102"/>
      <c r="B5" s="167" t="s">
        <v>1</v>
      </c>
      <c r="C5" s="168"/>
      <c r="D5" s="167" t="s">
        <v>2</v>
      </c>
      <c r="E5" s="168"/>
      <c r="F5" s="167" t="s">
        <v>3</v>
      </c>
      <c r="G5" s="168"/>
      <c r="H5" s="167" t="s">
        <v>4</v>
      </c>
      <c r="I5" s="168"/>
      <c r="J5" s="167" t="s">
        <v>32</v>
      </c>
      <c r="K5" s="168"/>
      <c r="L5" s="103" t="s">
        <v>86</v>
      </c>
      <c r="M5" s="104"/>
      <c r="N5" s="167" t="s">
        <v>33</v>
      </c>
      <c r="O5" s="168"/>
      <c r="P5" s="105" t="s">
        <v>5</v>
      </c>
      <c r="Q5" s="116" t="s">
        <v>38</v>
      </c>
    </row>
    <row r="6" spans="1:17" ht="17.25">
      <c r="A6" s="106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2" t="s">
        <v>25</v>
      </c>
      <c r="Q6" s="117" t="s">
        <v>39</v>
      </c>
    </row>
    <row r="7" spans="1:19" ht="17.25">
      <c r="A7" s="107" t="s">
        <v>14</v>
      </c>
      <c r="B7" s="32">
        <v>555511</v>
      </c>
      <c r="C7" s="33">
        <f>1361.35+270701.78+3+45710.77+90.91+77678.35</f>
        <v>395546.16000000003</v>
      </c>
      <c r="D7" s="32">
        <v>14110</v>
      </c>
      <c r="E7" s="33">
        <v>13534.55</v>
      </c>
      <c r="F7" s="32">
        <f>575832+200000-100000</f>
        <v>675832</v>
      </c>
      <c r="G7" s="33">
        <f>38759.27+625813.03</f>
        <v>664572.3</v>
      </c>
      <c r="H7" s="32">
        <f>1044014+100000</f>
        <v>1144014</v>
      </c>
      <c r="I7" s="33">
        <f>45644.42+1000932.83</f>
        <v>1046577.25</v>
      </c>
      <c r="J7" s="32">
        <f>1323500</f>
        <v>1323500</v>
      </c>
      <c r="K7" s="33">
        <f>701.07+2763.35</f>
        <v>3464.42</v>
      </c>
      <c r="L7" s="32">
        <v>0</v>
      </c>
      <c r="M7" s="33">
        <v>65830</v>
      </c>
      <c r="N7" s="32">
        <v>100000</v>
      </c>
      <c r="O7" s="33">
        <v>152010.11</v>
      </c>
      <c r="P7" s="108">
        <f>+O7+K7+I7+G7+E7+C7+M7</f>
        <v>2341534.79</v>
      </c>
      <c r="Q7" s="134">
        <f>+B7+D7+F7+H7+J7+N7+L7-P7</f>
        <v>1471432.21</v>
      </c>
      <c r="R7" s="5"/>
      <c r="S7" s="5"/>
    </row>
    <row r="8" spans="1:17" ht="17.25">
      <c r="A8" s="107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08"/>
      <c r="Q8" s="135"/>
    </row>
    <row r="9" spans="1:18" ht="17.25">
      <c r="A9" s="107" t="s">
        <v>101</v>
      </c>
      <c r="B9" s="32">
        <v>182173</v>
      </c>
      <c r="C9" s="33">
        <f>1132.74+174694.55</f>
        <v>175827.28999999998</v>
      </c>
      <c r="D9" s="32">
        <v>8477</v>
      </c>
      <c r="E9" s="33">
        <v>2443.66</v>
      </c>
      <c r="F9" s="32">
        <v>66653</v>
      </c>
      <c r="G9" s="33">
        <v>8691.62</v>
      </c>
      <c r="H9" s="32">
        <f>190000+250000</f>
        <v>440000</v>
      </c>
      <c r="I9" s="33">
        <f>2888.89+429728.99</f>
        <v>432617.88</v>
      </c>
      <c r="J9" s="32">
        <v>9625</v>
      </c>
      <c r="K9" s="33">
        <f>13.27+2088.06</f>
        <v>2101.33</v>
      </c>
      <c r="L9" s="32">
        <v>0</v>
      </c>
      <c r="M9" s="33">
        <v>0</v>
      </c>
      <c r="N9" s="35">
        <v>0</v>
      </c>
      <c r="O9" s="33">
        <v>12611.49</v>
      </c>
      <c r="P9" s="108">
        <f>+O9+K9+I9+G9+E9+C9</f>
        <v>634293.27</v>
      </c>
      <c r="Q9" s="135">
        <f>+B9+D9+F9+H9+J9+N9-P9</f>
        <v>72634.72999999998</v>
      </c>
      <c r="R9" s="5"/>
    </row>
    <row r="10" spans="1:17" ht="17.25">
      <c r="A10" s="107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08"/>
      <c r="Q10" s="135"/>
    </row>
    <row r="11" spans="1:18" ht="17.25">
      <c r="A11" s="107" t="s">
        <v>100</v>
      </c>
      <c r="B11" s="32">
        <v>1123942</v>
      </c>
      <c r="C11" s="33">
        <f>2879.96+789188.52</f>
        <v>792068.48</v>
      </c>
      <c r="D11" s="32">
        <v>30062</v>
      </c>
      <c r="E11" s="33">
        <f>510.2+10236.82</f>
        <v>10747.02</v>
      </c>
      <c r="F11" s="32">
        <v>370846</v>
      </c>
      <c r="G11" s="33">
        <f>6211.16+268117.79</f>
        <v>274328.94999999995</v>
      </c>
      <c r="H11" s="32">
        <v>220936</v>
      </c>
      <c r="I11" s="33">
        <f>4200+194857.84</f>
        <v>199057.84</v>
      </c>
      <c r="J11" s="32">
        <v>33192</v>
      </c>
      <c r="K11" s="33">
        <v>4675.25</v>
      </c>
      <c r="L11" s="32">
        <v>12900</v>
      </c>
      <c r="M11" s="37">
        <v>14500.62</v>
      </c>
      <c r="N11" s="32">
        <v>0</v>
      </c>
      <c r="O11" s="33">
        <v>40372.62</v>
      </c>
      <c r="P11" s="108">
        <f>+O11+K11+I11+G11+E11+C11+M11</f>
        <v>1335750.78</v>
      </c>
      <c r="Q11" s="135">
        <f>+B11+D11+F11+H11+J11+N11-P11+L11</f>
        <v>456127.22</v>
      </c>
      <c r="R11" s="5"/>
    </row>
    <row r="12" spans="1:17" ht="18" thickBot="1">
      <c r="A12" s="118" t="s">
        <v>11</v>
      </c>
      <c r="B12" s="113">
        <f>SUM(B7:B11)</f>
        <v>1861626</v>
      </c>
      <c r="C12" s="114">
        <f>SUM(C7:C11)</f>
        <v>1363441.93</v>
      </c>
      <c r="D12" s="113">
        <f>SUM(D7:D11)</f>
        <v>52649</v>
      </c>
      <c r="E12" s="114">
        <f aca="true" t="shared" si="0" ref="B12:I12">SUM(E7:E11)</f>
        <v>26725.23</v>
      </c>
      <c r="F12" s="113">
        <f t="shared" si="0"/>
        <v>1113331</v>
      </c>
      <c r="G12" s="114">
        <f t="shared" si="0"/>
        <v>947592.87</v>
      </c>
      <c r="H12" s="113">
        <f t="shared" si="0"/>
        <v>1804950</v>
      </c>
      <c r="I12" s="114">
        <f t="shared" si="0"/>
        <v>1678252.97</v>
      </c>
      <c r="J12" s="113">
        <f>SUM(J7:J11)</f>
        <v>1366317</v>
      </c>
      <c r="K12" s="114">
        <f>SUM(K7:K11)</f>
        <v>10241</v>
      </c>
      <c r="L12" s="113">
        <f aca="true" t="shared" si="1" ref="L12:Q12">SUM(L7:L11)</f>
        <v>12900</v>
      </c>
      <c r="M12" s="115">
        <f t="shared" si="1"/>
        <v>80330.62</v>
      </c>
      <c r="N12" s="113">
        <f t="shared" si="1"/>
        <v>100000</v>
      </c>
      <c r="O12" s="114">
        <f t="shared" si="1"/>
        <v>204994.21999999997</v>
      </c>
      <c r="P12" s="109">
        <f t="shared" si="1"/>
        <v>4311578.84</v>
      </c>
      <c r="Q12" s="136">
        <f t="shared" si="1"/>
        <v>2000194.16</v>
      </c>
    </row>
    <row r="13" spans="1:17" ht="18.75" thickBot="1" thickTop="1">
      <c r="A13" s="119" t="s">
        <v>30</v>
      </c>
      <c r="B13" s="110"/>
      <c r="C13" s="141">
        <f>+C12/B12</f>
        <v>0.732393042426352</v>
      </c>
      <c r="D13" s="111"/>
      <c r="E13" s="141">
        <f>+E12/D12</f>
        <v>0.5076113506429372</v>
      </c>
      <c r="F13" s="111"/>
      <c r="G13" s="141">
        <f>+G12/F12</f>
        <v>0.8511331041711764</v>
      </c>
      <c r="H13" s="111"/>
      <c r="I13" s="141">
        <f>+I12/H12</f>
        <v>0.9298057951743816</v>
      </c>
      <c r="J13" s="111"/>
      <c r="K13" s="142">
        <f>+K12/J12</f>
        <v>0.007495332342348079</v>
      </c>
      <c r="L13" s="140"/>
      <c r="M13" s="142">
        <f>+M12/L12</f>
        <v>6.22717984496124</v>
      </c>
      <c r="N13" s="112"/>
      <c r="O13" s="143">
        <f>+O12/N12</f>
        <v>2.0499422</v>
      </c>
      <c r="P13" s="48"/>
      <c r="Q13" s="5"/>
    </row>
    <row r="14" spans="1:17" ht="18" thickTop="1">
      <c r="A14" s="188"/>
      <c r="B14" s="189">
        <f>+B12+GOB!B17+SEH!B14+SAS!B13+SOP!$B$12+SFOI!B13+'CD'!B12+'CM'!B12+SSP!B13+CULTURA!B16+DEPORTES!B12</f>
        <v>53000000</v>
      </c>
      <c r="C14" s="189"/>
      <c r="D14" s="190">
        <f>+D12+GOB!D17+SEH!D14+SAS!D13+SOP!$D$12+SFOI!D13+'CD'!D12+'CM'!D12+SSP!D13+CULTURA!D16+DEPORTES!D12</f>
        <v>5358488</v>
      </c>
      <c r="E14" s="191"/>
      <c r="F14" s="189">
        <f>+F12+GOB!F17+SEH!F14+SAS!F13+SOP!$F$12+SFOI!F13+'CD'!F12+'CM'!F12+SSP!F13+CULTURA!F16+DEPORTES!F12</f>
        <v>18257225</v>
      </c>
      <c r="G14" s="192"/>
      <c r="H14" s="189">
        <f>+H12+GOB!H17+SEH!H14+SAS!H13+SOP!$H$12+SFOI!H13+'CD'!H12+'CM'!H12+SSP!H13+CULTURA!H16+DEPORTES!H12</f>
        <v>10880908</v>
      </c>
      <c r="I14" s="192"/>
      <c r="J14" s="189">
        <f>+J12+GOB!J17+SEH!J14+SAS!J13+SOP!$J$12+SFOI!J13+'CD'!J12+'CM'!J12+SSP!J13+CULTURA!J16+DEPORTES!J12</f>
        <v>2235720</v>
      </c>
      <c r="K14" s="192"/>
      <c r="L14" s="189">
        <f>+L12+GOB!L17+SEH!L14+SAS!L13+SOP!$L$12+SFOI!L13+'CD'!L12+SSP!L13+CULTURA!L16+DEPORTES!L12</f>
        <v>18001959</v>
      </c>
      <c r="M14" s="192"/>
      <c r="N14" s="189">
        <f>+N12+GOB!N17+SEH!N14+SAS!N13+SOP!$N$12+SFOI!N13+'CD'!N12+'CM'!L12+SSP!N13+CULTURA!N16+DEPORTES!N12</f>
        <v>4334400</v>
      </c>
      <c r="O14" s="192"/>
      <c r="P14" s="193">
        <f>SUM(B14:N14)</f>
        <v>112068700</v>
      </c>
      <c r="Q14" s="5"/>
    </row>
    <row r="15" ht="16.5">
      <c r="P15" s="5"/>
    </row>
    <row r="37" spans="1:6" ht="16.5">
      <c r="A37" s="51"/>
      <c r="B37" s="51"/>
      <c r="C37" s="51"/>
      <c r="D37" s="51"/>
      <c r="E37" s="51"/>
      <c r="F37" s="51"/>
    </row>
    <row r="39" spans="3:11" ht="16.5">
      <c r="C39" s="50"/>
      <c r="D39" s="5"/>
      <c r="E39" s="51"/>
      <c r="F39" s="51"/>
      <c r="K39" s="1" t="s">
        <v>84</v>
      </c>
    </row>
    <row r="40" spans="3:6" ht="16.5">
      <c r="C40" s="5"/>
      <c r="D40" s="5"/>
      <c r="E40" s="51"/>
      <c r="F40" s="51"/>
    </row>
    <row r="41" spans="3:6" ht="16.5">
      <c r="C41" s="5"/>
      <c r="D41" s="5"/>
      <c r="E41" s="51"/>
      <c r="F41" s="51"/>
    </row>
    <row r="42" spans="3:6" ht="16.5">
      <c r="C42" s="5"/>
      <c r="D42" s="5"/>
      <c r="E42" s="51"/>
      <c r="F42" s="51"/>
    </row>
    <row r="43" spans="3:6" ht="16.5">
      <c r="C43" s="5"/>
      <c r="D43" s="5"/>
      <c r="E43" s="51"/>
      <c r="F43" s="51"/>
    </row>
    <row r="44" spans="3:6" ht="16.5">
      <c r="C44" s="5"/>
      <c r="D44" s="5"/>
      <c r="E44" s="51"/>
      <c r="F44" s="51"/>
    </row>
    <row r="46" spans="1:3" ht="17.25">
      <c r="A46" s="21" t="s">
        <v>26</v>
      </c>
      <c r="B46" s="52" t="s">
        <v>27</v>
      </c>
      <c r="C46" s="21" t="s">
        <v>28</v>
      </c>
    </row>
    <row r="47" spans="1:3" ht="17.25">
      <c r="A47" s="53">
        <f>+B12</f>
        <v>1861626</v>
      </c>
      <c r="B47" s="50">
        <f>+C12</f>
        <v>1363441.93</v>
      </c>
      <c r="C47" s="21" t="s">
        <v>1</v>
      </c>
    </row>
    <row r="48" spans="1:3" ht="17.25">
      <c r="A48" s="53">
        <f>+D12</f>
        <v>52649</v>
      </c>
      <c r="B48" s="50">
        <f>+E12</f>
        <v>26725.23</v>
      </c>
      <c r="C48" s="21" t="s">
        <v>2</v>
      </c>
    </row>
    <row r="49" spans="1:3" ht="17.25">
      <c r="A49" s="53">
        <f>+F12</f>
        <v>1113331</v>
      </c>
      <c r="B49" s="50">
        <f>+G12</f>
        <v>947592.87</v>
      </c>
      <c r="C49" s="21" t="s">
        <v>3</v>
      </c>
    </row>
    <row r="50" spans="1:3" ht="17.25">
      <c r="A50" s="53">
        <f>+H12</f>
        <v>1804950</v>
      </c>
      <c r="B50" s="50">
        <f>+I12</f>
        <v>1678252.97</v>
      </c>
      <c r="C50" s="21" t="s">
        <v>34</v>
      </c>
    </row>
    <row r="51" spans="1:3" ht="17.25">
      <c r="A51" s="53">
        <f>+J12</f>
        <v>1366317</v>
      </c>
      <c r="B51" s="50">
        <f>+K12</f>
        <v>10241</v>
      </c>
      <c r="C51" s="21" t="s">
        <v>32</v>
      </c>
    </row>
    <row r="52" spans="1:3" ht="17.25">
      <c r="A52" s="53">
        <f>+L12</f>
        <v>12900</v>
      </c>
      <c r="B52" s="50">
        <f>+M12</f>
        <v>80330.62</v>
      </c>
      <c r="C52" s="21" t="s">
        <v>97</v>
      </c>
    </row>
    <row r="53" spans="1:3" ht="17.25">
      <c r="A53" s="53">
        <f>+N12</f>
        <v>100000</v>
      </c>
      <c r="B53" s="50">
        <f>+O12</f>
        <v>204994.21999999997</v>
      </c>
      <c r="C53" s="21" t="s">
        <v>35</v>
      </c>
    </row>
    <row r="55" spans="1:2" ht="16.5">
      <c r="A55" s="53"/>
      <c r="B55" s="50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74" right="0.48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0"/>
  <sheetViews>
    <sheetView workbookViewId="0" topLeftCell="C1">
      <selection activeCell="P18" sqref="P18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2.140625" style="1" customWidth="1"/>
    <col min="4" max="4" width="7.140625" style="1" customWidth="1"/>
    <col min="5" max="5" width="9.57421875" style="1" customWidth="1"/>
    <col min="6" max="6" width="9.7109375" style="1" customWidth="1"/>
    <col min="7" max="7" width="12.140625" style="1" customWidth="1"/>
    <col min="8" max="8" width="7.421875" style="1" customWidth="1"/>
    <col min="9" max="9" width="10.5742187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7.57421875" style="1" customWidth="1"/>
    <col min="15" max="15" width="10.28125" style="1" customWidth="1"/>
    <col min="16" max="16" width="12.140625" style="1" customWidth="1"/>
    <col min="17" max="17" width="12.28125" style="1" customWidth="1"/>
    <col min="18" max="18" width="11.8515625" style="1" bestFit="1" customWidth="1"/>
    <col min="19" max="19" width="13.8515625" style="1" bestFit="1" customWidth="1"/>
    <col min="20" max="16384" width="11.421875" style="1" customWidth="1"/>
  </cols>
  <sheetData>
    <row r="2" spans="1:15" ht="18">
      <c r="A2" s="144" t="s">
        <v>0</v>
      </c>
      <c r="B2" s="164" t="s">
        <v>121</v>
      </c>
      <c r="C2" s="180"/>
      <c r="D2" s="180"/>
      <c r="E2" s="181"/>
      <c r="F2" s="181"/>
      <c r="G2" s="177"/>
      <c r="K2" s="182" t="s">
        <v>23</v>
      </c>
      <c r="L2" s="182"/>
      <c r="M2" s="148">
        <v>40787</v>
      </c>
      <c r="O2" s="54"/>
    </row>
    <row r="3" spans="2:4" ht="16.5">
      <c r="B3" s="162"/>
      <c r="C3" s="179"/>
      <c r="D3" s="179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32</v>
      </c>
      <c r="K5" s="172"/>
      <c r="L5" s="171" t="s">
        <v>36</v>
      </c>
      <c r="M5" s="172"/>
      <c r="N5" s="171" t="s">
        <v>33</v>
      </c>
      <c r="O5" s="172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9" ht="17.25">
      <c r="A7" s="31" t="s">
        <v>129</v>
      </c>
      <c r="B7" s="32">
        <v>982854</v>
      </c>
      <c r="C7" s="33">
        <f>173778.11+513654.76+18132.42+40251.52+3095.77+8174.63</f>
        <v>757087.2100000001</v>
      </c>
      <c r="D7" s="32">
        <v>17960</v>
      </c>
      <c r="E7" s="33">
        <v>15360.72</v>
      </c>
      <c r="F7" s="32">
        <f>638238+300000-250000</f>
        <v>688238</v>
      </c>
      <c r="G7" s="33">
        <f>121662.16+980387.89+641.89+1000</f>
        <v>1103691.94</v>
      </c>
      <c r="H7" s="32">
        <v>240811</v>
      </c>
      <c r="I7" s="33">
        <f>2102.4+325857.08</f>
        <v>327959.48000000004</v>
      </c>
      <c r="J7" s="32">
        <v>0</v>
      </c>
      <c r="K7" s="33">
        <f>1679+863.44</f>
        <v>2542.44</v>
      </c>
      <c r="L7" s="32">
        <v>0</v>
      </c>
      <c r="M7" s="37">
        <v>34051.92</v>
      </c>
      <c r="N7" s="32">
        <v>200000</v>
      </c>
      <c r="O7" s="33">
        <f>106481.52+1568.92</f>
        <v>108050.44</v>
      </c>
      <c r="P7" s="34">
        <f>+C7+E7+G7+I7+K7+O7+M7</f>
        <v>2348744.15</v>
      </c>
      <c r="Q7" s="34">
        <f>+B7+D7+F7+H7+J7+N7+L7-P7</f>
        <v>-218881.1499999999</v>
      </c>
      <c r="R7" s="5"/>
      <c r="S7" s="5"/>
    </row>
    <row r="8" spans="1:18" ht="17.25" hidden="1">
      <c r="A8" s="31" t="s">
        <v>93</v>
      </c>
      <c r="B8" s="32">
        <v>0</v>
      </c>
      <c r="C8" s="33"/>
      <c r="D8" s="32">
        <v>0</v>
      </c>
      <c r="E8" s="33"/>
      <c r="F8" s="32">
        <v>0</v>
      </c>
      <c r="G8" s="33"/>
      <c r="H8" s="32">
        <v>0</v>
      </c>
      <c r="I8" s="33"/>
      <c r="J8" s="32">
        <v>0</v>
      </c>
      <c r="K8" s="33"/>
      <c r="L8" s="32">
        <v>0</v>
      </c>
      <c r="M8" s="37"/>
      <c r="N8" s="32">
        <v>0</v>
      </c>
      <c r="O8" s="33"/>
      <c r="P8" s="34">
        <f aca="true" t="shared" si="0" ref="P8:P14">+C8+E8+G8+I8+K8+O8</f>
        <v>0</v>
      </c>
      <c r="Q8" s="34">
        <f aca="true" t="shared" si="1" ref="Q8:Q14">+B8+D8+F8+H8+J8+N8-P8</f>
        <v>0</v>
      </c>
      <c r="R8" s="5"/>
    </row>
    <row r="9" spans="1:18" ht="17.25">
      <c r="A9" s="31" t="s">
        <v>91</v>
      </c>
      <c r="B9" s="32">
        <v>257355</v>
      </c>
      <c r="C9" s="33">
        <f>50023.95+153962.09</f>
        <v>203986.03999999998</v>
      </c>
      <c r="D9" s="32">
        <v>2000</v>
      </c>
      <c r="E9" s="33">
        <v>12303.97</v>
      </c>
      <c r="F9" s="32">
        <v>249000</v>
      </c>
      <c r="G9" s="33">
        <f>4550+48821.72</f>
        <v>53371.72</v>
      </c>
      <c r="H9" s="32">
        <v>0</v>
      </c>
      <c r="I9" s="33">
        <v>0</v>
      </c>
      <c r="J9" s="32">
        <v>1500</v>
      </c>
      <c r="K9" s="33">
        <v>0</v>
      </c>
      <c r="L9" s="32">
        <v>0</v>
      </c>
      <c r="M9" s="37">
        <v>0</v>
      </c>
      <c r="N9" s="32">
        <v>0</v>
      </c>
      <c r="O9" s="33">
        <v>5077.76</v>
      </c>
      <c r="P9" s="34">
        <f t="shared" si="0"/>
        <v>274739.49</v>
      </c>
      <c r="Q9" s="34">
        <f t="shared" si="1"/>
        <v>235115.51</v>
      </c>
      <c r="R9" s="5"/>
    </row>
    <row r="10" spans="1:18" ht="17.25">
      <c r="A10" s="31" t="s">
        <v>122</v>
      </c>
      <c r="B10" s="32">
        <v>49792</v>
      </c>
      <c r="C10" s="33">
        <f>11911.72+26950.03</f>
        <v>38861.75</v>
      </c>
      <c r="D10" s="32">
        <v>0</v>
      </c>
      <c r="E10" s="33">
        <v>0</v>
      </c>
      <c r="F10" s="32">
        <v>0</v>
      </c>
      <c r="G10" s="33">
        <v>500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967.67</v>
      </c>
      <c r="P10" s="34">
        <f t="shared" si="0"/>
        <v>40329.42</v>
      </c>
      <c r="Q10" s="34">
        <f t="shared" si="1"/>
        <v>9462.580000000002</v>
      </c>
      <c r="R10" s="5"/>
    </row>
    <row r="11" spans="1:18" ht="17.25">
      <c r="A11" s="31" t="s">
        <v>92</v>
      </c>
      <c r="B11" s="32">
        <v>77210</v>
      </c>
      <c r="C11" s="33">
        <f>14412.66+39891.23</f>
        <v>54303.89</v>
      </c>
      <c r="D11" s="32">
        <v>0</v>
      </c>
      <c r="E11" s="33">
        <v>2187.58</v>
      </c>
      <c r="F11" s="32">
        <v>0</v>
      </c>
      <c r="G11" s="33">
        <f>2092+18409.57</f>
        <v>20501.57</v>
      </c>
      <c r="H11" s="32">
        <v>0</v>
      </c>
      <c r="I11" s="33">
        <v>0</v>
      </c>
      <c r="J11" s="32">
        <v>0</v>
      </c>
      <c r="K11" s="33">
        <f>199*2</f>
        <v>398</v>
      </c>
      <c r="L11" s="32">
        <v>0</v>
      </c>
      <c r="M11" s="37">
        <v>0</v>
      </c>
      <c r="N11" s="32">
        <v>0</v>
      </c>
      <c r="O11" s="33">
        <v>1995.21</v>
      </c>
      <c r="P11" s="34">
        <f t="shared" si="0"/>
        <v>79386.25000000001</v>
      </c>
      <c r="Q11" s="34">
        <f t="shared" si="1"/>
        <v>-2176.2500000000146</v>
      </c>
      <c r="R11" s="5"/>
    </row>
    <row r="12" spans="1:18" ht="17.25">
      <c r="A12" s="31" t="s">
        <v>94</v>
      </c>
      <c r="B12" s="32">
        <v>113170</v>
      </c>
      <c r="C12" s="33">
        <f>12415.82+35878.12</f>
        <v>48293.94</v>
      </c>
      <c r="D12" s="32">
        <v>0</v>
      </c>
      <c r="E12" s="33">
        <v>0</v>
      </c>
      <c r="F12" s="32">
        <v>0</v>
      </c>
      <c r="G12" s="33">
        <v>395.49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2424.35</v>
      </c>
      <c r="P12" s="34">
        <f t="shared" si="0"/>
        <v>51113.78</v>
      </c>
      <c r="Q12" s="34">
        <f t="shared" si="1"/>
        <v>62056.22</v>
      </c>
      <c r="R12" s="5"/>
    </row>
    <row r="13" spans="1:18" ht="17.25">
      <c r="A13" s="31" t="s">
        <v>123</v>
      </c>
      <c r="B13" s="32">
        <v>157649</v>
      </c>
      <c r="C13" s="33">
        <f>25614.37+79508.63</f>
        <v>105123</v>
      </c>
      <c r="D13" s="32">
        <v>0</v>
      </c>
      <c r="E13" s="33">
        <v>0</v>
      </c>
      <c r="F13" s="32">
        <v>0</v>
      </c>
      <c r="G13" s="33">
        <v>0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3172.79</v>
      </c>
      <c r="P13" s="34">
        <f t="shared" si="0"/>
        <v>108295.79</v>
      </c>
      <c r="Q13" s="34">
        <f t="shared" si="1"/>
        <v>49353.21000000001</v>
      </c>
      <c r="R13" s="5"/>
    </row>
    <row r="14" spans="1:18" ht="17.25">
      <c r="A14" s="31" t="s">
        <v>124</v>
      </c>
      <c r="B14" s="32">
        <v>0</v>
      </c>
      <c r="C14" s="33">
        <v>0</v>
      </c>
      <c r="D14" s="32">
        <v>5921</v>
      </c>
      <c r="E14" s="33">
        <v>0</v>
      </c>
      <c r="F14" s="32">
        <v>105000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0</v>
      </c>
      <c r="P14" s="34">
        <f t="shared" si="0"/>
        <v>0</v>
      </c>
      <c r="Q14" s="34">
        <f t="shared" si="1"/>
        <v>110921</v>
      </c>
      <c r="R14" s="5"/>
    </row>
    <row r="15" spans="1:18" ht="17.25">
      <c r="A15" s="31" t="s">
        <v>130</v>
      </c>
      <c r="B15" s="32">
        <v>48076</v>
      </c>
      <c r="C15" s="33">
        <f>21026.27+58210.02</f>
        <v>79236.29</v>
      </c>
      <c r="D15" s="32">
        <v>0</v>
      </c>
      <c r="E15" s="33">
        <v>0</v>
      </c>
      <c r="F15" s="32">
        <v>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2316.87</v>
      </c>
      <c r="P15" s="34">
        <f>+C15+E15+G15+I15+K15+O15</f>
        <v>81553.15999999999</v>
      </c>
      <c r="Q15" s="34">
        <f>+B15+D15+F15+H15+J15+N15-P15</f>
        <v>-33477.15999999999</v>
      </c>
      <c r="R15" s="5"/>
    </row>
    <row r="16" spans="1:18" ht="18" thickBot="1">
      <c r="A16" s="38" t="s">
        <v>11</v>
      </c>
      <c r="B16" s="39">
        <f aca="true" t="shared" si="2" ref="B16:Q16">SUM(B7:B15)</f>
        <v>1686106</v>
      </c>
      <c r="C16" s="40">
        <f t="shared" si="2"/>
        <v>1286892.1199999999</v>
      </c>
      <c r="D16" s="39">
        <f t="shared" si="2"/>
        <v>25881</v>
      </c>
      <c r="E16" s="40">
        <f t="shared" si="2"/>
        <v>29852.269999999997</v>
      </c>
      <c r="F16" s="39">
        <f t="shared" si="2"/>
        <v>1042238</v>
      </c>
      <c r="G16" s="40">
        <f t="shared" si="2"/>
        <v>1178460.72</v>
      </c>
      <c r="H16" s="39">
        <f t="shared" si="2"/>
        <v>240811</v>
      </c>
      <c r="I16" s="40">
        <f t="shared" si="2"/>
        <v>327959.48000000004</v>
      </c>
      <c r="J16" s="39">
        <f t="shared" si="2"/>
        <v>1500</v>
      </c>
      <c r="K16" s="40">
        <f t="shared" si="2"/>
        <v>2940.44</v>
      </c>
      <c r="L16" s="39">
        <f t="shared" si="2"/>
        <v>0</v>
      </c>
      <c r="M16" s="40">
        <f t="shared" si="2"/>
        <v>34051.92</v>
      </c>
      <c r="N16" s="39">
        <f t="shared" si="2"/>
        <v>200000</v>
      </c>
      <c r="O16" s="40">
        <f t="shared" si="2"/>
        <v>124005.09</v>
      </c>
      <c r="P16" s="42">
        <f>SUM(P7:P15)</f>
        <v>2984162.0399999996</v>
      </c>
      <c r="Q16" s="42">
        <f t="shared" si="2"/>
        <v>212373.96000000014</v>
      </c>
      <c r="R16" s="5"/>
    </row>
    <row r="17" spans="1:17" ht="17.25" thickBot="1">
      <c r="A17" s="43" t="s">
        <v>30</v>
      </c>
      <c r="B17" s="44"/>
      <c r="C17" s="137">
        <f>+C16/B16</f>
        <v>0.763233224957387</v>
      </c>
      <c r="D17" s="137"/>
      <c r="E17" s="137">
        <f>+E16/D16</f>
        <v>1.1534434527259378</v>
      </c>
      <c r="F17" s="137"/>
      <c r="G17" s="137">
        <f>+G16/F16</f>
        <v>1.1307021236991934</v>
      </c>
      <c r="H17" s="137"/>
      <c r="I17" s="137">
        <f>+I16/H16</f>
        <v>1.3618957605757214</v>
      </c>
      <c r="J17" s="137"/>
      <c r="K17" s="137">
        <f>+K16/J16</f>
        <v>1.9602933333333334</v>
      </c>
      <c r="L17" s="145"/>
      <c r="M17" s="137"/>
      <c r="N17" s="147"/>
      <c r="O17" s="139">
        <f>+O16/N16</f>
        <v>0.62002545</v>
      </c>
      <c r="P17" s="56"/>
      <c r="Q17" s="5"/>
    </row>
    <row r="18" spans="1:17" ht="16.5">
      <c r="A18" s="49"/>
      <c r="B18" s="49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38"/>
      <c r="Q18" s="5"/>
    </row>
    <row r="19" spans="1:16" ht="16.5">
      <c r="A19" s="49"/>
      <c r="B19" s="4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36" spans="5:8" ht="16.5">
      <c r="E36" s="57"/>
      <c r="F36" s="57"/>
      <c r="G36" s="58"/>
      <c r="H36" s="58"/>
    </row>
    <row r="37" spans="5:8" ht="16.5">
      <c r="E37" s="59"/>
      <c r="F37" s="59"/>
      <c r="G37" s="59"/>
      <c r="H37" s="59"/>
    </row>
    <row r="42" spans="1:6" ht="16.5">
      <c r="A42" s="51"/>
      <c r="B42" s="51"/>
      <c r="C42" s="51"/>
      <c r="D42" s="51"/>
      <c r="E42" s="51"/>
      <c r="F42" s="51"/>
    </row>
    <row r="43" ht="16.5">
      <c r="C43" s="48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spans="3:6" ht="16.5">
      <c r="C47" s="50"/>
      <c r="D47" s="5"/>
      <c r="E47" s="51"/>
      <c r="F47" s="51"/>
    </row>
    <row r="48" spans="3:6" ht="16.5">
      <c r="C48" s="50"/>
      <c r="D48" s="5"/>
      <c r="E48" s="51"/>
      <c r="F48" s="51"/>
    </row>
    <row r="49" spans="3:6" ht="16.5">
      <c r="C49" s="50"/>
      <c r="D49" s="5"/>
      <c r="E49" s="51"/>
      <c r="F49" s="51"/>
    </row>
    <row r="51" spans="1:5" ht="16.5">
      <c r="A51" s="60" t="s">
        <v>26</v>
      </c>
      <c r="B51" s="60" t="s">
        <v>27</v>
      </c>
      <c r="C51" s="60" t="s">
        <v>28</v>
      </c>
      <c r="D51" s="60"/>
      <c r="E51" s="61"/>
    </row>
    <row r="52" spans="1:3" ht="17.25">
      <c r="A52" s="62">
        <f>+B16</f>
        <v>1686106</v>
      </c>
      <c r="B52" s="63">
        <f>+C16</f>
        <v>1286892.1199999999</v>
      </c>
      <c r="C52" s="60" t="s">
        <v>1</v>
      </c>
    </row>
    <row r="53" spans="1:3" ht="17.25">
      <c r="A53" s="62">
        <f>+D16</f>
        <v>25881</v>
      </c>
      <c r="B53" s="63">
        <f>+E16</f>
        <v>29852.269999999997</v>
      </c>
      <c r="C53" s="60" t="s">
        <v>2</v>
      </c>
    </row>
    <row r="54" spans="1:3" ht="17.25">
      <c r="A54" s="62">
        <f>+F16</f>
        <v>1042238</v>
      </c>
      <c r="B54" s="63">
        <f>+G16</f>
        <v>1178460.72</v>
      </c>
      <c r="C54" s="60" t="s">
        <v>3</v>
      </c>
    </row>
    <row r="55" spans="1:3" ht="17.25">
      <c r="A55" s="62">
        <f>+H16</f>
        <v>240811</v>
      </c>
      <c r="B55" s="63">
        <f>+I16</f>
        <v>327959.48000000004</v>
      </c>
      <c r="C55" s="60" t="s">
        <v>34</v>
      </c>
    </row>
    <row r="56" spans="1:3" ht="17.25">
      <c r="A56" s="62">
        <f>+J16</f>
        <v>1500</v>
      </c>
      <c r="B56" s="63">
        <f>+K16</f>
        <v>2940.44</v>
      </c>
      <c r="C56" s="60" t="s">
        <v>32</v>
      </c>
    </row>
    <row r="57" spans="1:3" ht="17.25">
      <c r="A57" s="64">
        <f>+L16</f>
        <v>0</v>
      </c>
      <c r="B57" s="63">
        <f>+M16</f>
        <v>34051.92</v>
      </c>
      <c r="C57" s="60" t="s">
        <v>102</v>
      </c>
    </row>
    <row r="58" spans="1:3" ht="17.25">
      <c r="A58" s="62">
        <f>+N16</f>
        <v>200000</v>
      </c>
      <c r="B58" s="63">
        <f>+O16</f>
        <v>124005.09</v>
      </c>
      <c r="C58" s="60" t="s">
        <v>35</v>
      </c>
    </row>
    <row r="59" spans="1:3" ht="17.25">
      <c r="A59" s="62"/>
      <c r="B59" s="62"/>
      <c r="C59" s="60"/>
    </row>
    <row r="60" spans="1:2" ht="16.5">
      <c r="A60" s="1">
        <v>2809993</v>
      </c>
      <c r="B60" s="5">
        <v>749308.3</v>
      </c>
    </row>
  </sheetData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I1">
      <selection activeCell="P15" sqref="P15"/>
    </sheetView>
  </sheetViews>
  <sheetFormatPr defaultColWidth="11.421875" defaultRowHeight="15"/>
  <cols>
    <col min="1" max="1" width="15.7109375" style="1" customWidth="1"/>
    <col min="2" max="2" width="9.28125" style="1" customWidth="1"/>
    <col min="3" max="3" width="12.421875" style="1" customWidth="1"/>
    <col min="4" max="4" width="6.8515625" style="1" customWidth="1"/>
    <col min="5" max="5" width="9.28125" style="1" customWidth="1"/>
    <col min="6" max="6" width="9.00390625" style="1" customWidth="1"/>
    <col min="7" max="7" width="12.140625" style="1" customWidth="1"/>
    <col min="8" max="8" width="9.140625" style="1" customWidth="1"/>
    <col min="9" max="9" width="11.8515625" style="1" customWidth="1"/>
    <col min="10" max="10" width="7.421875" style="1" customWidth="1"/>
    <col min="11" max="11" width="9.140625" style="1" customWidth="1"/>
    <col min="12" max="12" width="7.8515625" style="1" customWidth="1"/>
    <col min="13" max="13" width="9.57421875" style="1" customWidth="1"/>
    <col min="14" max="14" width="7.421875" style="1" customWidth="1"/>
    <col min="15" max="15" width="10.57421875" style="1" customWidth="1"/>
    <col min="16" max="17" width="12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4" t="s">
        <v>125</v>
      </c>
      <c r="C2" s="180"/>
      <c r="D2" s="180"/>
      <c r="E2" s="181"/>
      <c r="F2" s="181"/>
      <c r="G2" s="177"/>
      <c r="K2" s="183" t="s">
        <v>23</v>
      </c>
      <c r="L2" s="184"/>
      <c r="M2" s="148">
        <v>40787</v>
      </c>
      <c r="O2" s="54"/>
    </row>
    <row r="3" spans="2:4" ht="16.5">
      <c r="B3" s="162"/>
      <c r="C3" s="179"/>
      <c r="D3" s="179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32</v>
      </c>
      <c r="K5" s="172"/>
      <c r="L5" s="171" t="s">
        <v>36</v>
      </c>
      <c r="M5" s="172"/>
      <c r="N5" s="171" t="s">
        <v>33</v>
      </c>
      <c r="O5" s="172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7" ht="17.25">
      <c r="A7" s="95"/>
      <c r="B7" s="157"/>
      <c r="C7" s="158"/>
      <c r="D7" s="157"/>
      <c r="E7" s="158"/>
      <c r="F7" s="157"/>
      <c r="G7" s="158"/>
      <c r="H7" s="157"/>
      <c r="I7" s="158"/>
      <c r="J7" s="157"/>
      <c r="K7" s="158"/>
      <c r="L7" s="157"/>
      <c r="M7" s="157"/>
      <c r="N7" s="157"/>
      <c r="O7" s="158"/>
      <c r="P7" s="159"/>
      <c r="Q7" s="160"/>
    </row>
    <row r="8" spans="1:18" ht="17.25">
      <c r="A8" s="31" t="s">
        <v>131</v>
      </c>
      <c r="B8" s="32">
        <v>1567215</v>
      </c>
      <c r="C8" s="33">
        <f>223302.43+681650.79+45724.49+104948.33+26313.83+71390.86</f>
        <v>1153330.7300000002</v>
      </c>
      <c r="D8" s="32">
        <v>33506</v>
      </c>
      <c r="E8" s="33">
        <f>9836.5+32882.63</f>
        <v>42719.13</v>
      </c>
      <c r="F8" s="32">
        <f>1318843+300000-100000</f>
        <v>1518843</v>
      </c>
      <c r="G8" s="33">
        <f>128514.16+1038736.25+1568+8306+1124+4327</f>
        <v>1182575.41</v>
      </c>
      <c r="H8" s="32">
        <v>1024519</v>
      </c>
      <c r="I8" s="33">
        <f>40855.44+1020433.01</f>
        <v>1061288.45</v>
      </c>
      <c r="J8" s="32">
        <f>130000</f>
        <v>130000</v>
      </c>
      <c r="K8" s="33">
        <v>95951.82</v>
      </c>
      <c r="L8" s="32">
        <v>416000</v>
      </c>
      <c r="M8" s="37">
        <v>13887.48</v>
      </c>
      <c r="N8" s="32">
        <v>200000</v>
      </c>
      <c r="O8" s="33">
        <v>166056.77</v>
      </c>
      <c r="P8" s="34">
        <f>+C8+E8+G8+I8+K8+O8+M8</f>
        <v>3715809.7899999996</v>
      </c>
      <c r="Q8" s="34">
        <f>+B8+D8+F8+H8+J8+N8+L8-P8</f>
        <v>1174273.2100000004</v>
      </c>
      <c r="R8" s="161"/>
    </row>
    <row r="9" spans="1:18" ht="17.25" hidden="1">
      <c r="A9" s="31" t="s">
        <v>132</v>
      </c>
      <c r="B9" s="32">
        <v>0</v>
      </c>
      <c r="C9" s="33"/>
      <c r="D9" s="32">
        <v>0</v>
      </c>
      <c r="E9" s="33"/>
      <c r="F9" s="32">
        <v>0</v>
      </c>
      <c r="G9" s="33"/>
      <c r="H9" s="32">
        <v>0</v>
      </c>
      <c r="I9" s="33"/>
      <c r="J9" s="32">
        <v>0</v>
      </c>
      <c r="K9" s="33"/>
      <c r="L9" s="32">
        <v>0</v>
      </c>
      <c r="M9" s="37"/>
      <c r="N9" s="32">
        <v>0</v>
      </c>
      <c r="O9" s="33"/>
      <c r="P9" s="34">
        <f>+C9+E9+G9+I9+K9+O9</f>
        <v>0</v>
      </c>
      <c r="Q9" s="34">
        <f>+B9+D9+F9+H9+J9+N9-P9</f>
        <v>0</v>
      </c>
      <c r="R9" s="5"/>
    </row>
    <row r="10" spans="1:18" ht="17.25" hidden="1">
      <c r="A10" s="31" t="s">
        <v>133</v>
      </c>
      <c r="B10" s="32">
        <v>0</v>
      </c>
      <c r="C10" s="33"/>
      <c r="D10" s="35">
        <v>0</v>
      </c>
      <c r="E10" s="33"/>
      <c r="F10" s="32">
        <v>0</v>
      </c>
      <c r="G10" s="33"/>
      <c r="H10" s="32">
        <v>0</v>
      </c>
      <c r="I10" s="33"/>
      <c r="J10" s="35">
        <v>0</v>
      </c>
      <c r="K10" s="33"/>
      <c r="L10" s="32">
        <v>0</v>
      </c>
      <c r="M10" s="37"/>
      <c r="N10" s="32">
        <v>0</v>
      </c>
      <c r="O10" s="33"/>
      <c r="P10" s="34">
        <f>+C10+E10+G10+I10+K10+O10</f>
        <v>0</v>
      </c>
      <c r="Q10" s="34">
        <f>+B10+D10+F10+H10+J10+N10-P10</f>
        <v>0</v>
      </c>
      <c r="R10" s="5"/>
    </row>
    <row r="11" spans="1:18" ht="14.25" customHeight="1">
      <c r="A11" s="31"/>
      <c r="B11" s="32"/>
      <c r="C11" s="33"/>
      <c r="D11" s="35"/>
      <c r="E11" s="33"/>
      <c r="F11" s="32"/>
      <c r="G11" s="33"/>
      <c r="H11" s="32"/>
      <c r="I11" s="33"/>
      <c r="J11" s="35"/>
      <c r="K11" s="33"/>
      <c r="L11" s="37"/>
      <c r="M11" s="37"/>
      <c r="N11" s="32"/>
      <c r="O11" s="33"/>
      <c r="P11" s="34"/>
      <c r="Q11" s="34"/>
      <c r="R11" s="5"/>
    </row>
    <row r="12" spans="1:18" ht="18" thickBot="1">
      <c r="A12" s="38" t="s">
        <v>11</v>
      </c>
      <c r="B12" s="39">
        <f aca="true" t="shared" si="0" ref="B12:Q12">SUM(B8:B11)</f>
        <v>1567215</v>
      </c>
      <c r="C12" s="40">
        <f t="shared" si="0"/>
        <v>1153330.7300000002</v>
      </c>
      <c r="D12" s="39">
        <f t="shared" si="0"/>
        <v>33506</v>
      </c>
      <c r="E12" s="40">
        <f t="shared" si="0"/>
        <v>42719.13</v>
      </c>
      <c r="F12" s="39">
        <f t="shared" si="0"/>
        <v>1518843</v>
      </c>
      <c r="G12" s="40">
        <f t="shared" si="0"/>
        <v>1182575.41</v>
      </c>
      <c r="H12" s="39">
        <f t="shared" si="0"/>
        <v>1024519</v>
      </c>
      <c r="I12" s="40">
        <f t="shared" si="0"/>
        <v>1061288.45</v>
      </c>
      <c r="J12" s="39">
        <f t="shared" si="0"/>
        <v>130000</v>
      </c>
      <c r="K12" s="40">
        <f t="shared" si="0"/>
        <v>95951.82</v>
      </c>
      <c r="L12" s="39">
        <f t="shared" si="0"/>
        <v>416000</v>
      </c>
      <c r="M12" s="40">
        <f t="shared" si="0"/>
        <v>13887.48</v>
      </c>
      <c r="N12" s="39">
        <f t="shared" si="0"/>
        <v>200000</v>
      </c>
      <c r="O12" s="40">
        <f t="shared" si="0"/>
        <v>166056.77</v>
      </c>
      <c r="P12" s="42">
        <f t="shared" si="0"/>
        <v>3715809.7899999996</v>
      </c>
      <c r="Q12" s="42">
        <f t="shared" si="0"/>
        <v>1174273.2100000004</v>
      </c>
      <c r="R12" s="5"/>
    </row>
    <row r="13" spans="1:17" ht="17.25" thickBot="1">
      <c r="A13" s="43" t="s">
        <v>30</v>
      </c>
      <c r="B13" s="44"/>
      <c r="C13" s="137">
        <f>+C12/B12</f>
        <v>0.7359109822200529</v>
      </c>
      <c r="D13" s="137"/>
      <c r="E13" s="137">
        <f>+E12/D12</f>
        <v>1.2749695576911597</v>
      </c>
      <c r="F13" s="137"/>
      <c r="G13" s="137">
        <f>+G12/F12</f>
        <v>0.7786027983142431</v>
      </c>
      <c r="H13" s="45"/>
      <c r="I13" s="137">
        <f>+I12/H12</f>
        <v>1.0358894759394408</v>
      </c>
      <c r="J13" s="45"/>
      <c r="K13" s="45"/>
      <c r="L13" s="47"/>
      <c r="M13" s="145">
        <f>+M12/L12</f>
        <v>0.033383365384615386</v>
      </c>
      <c r="N13" s="45"/>
      <c r="O13" s="139">
        <f>+O12/N12</f>
        <v>0.8302838499999999</v>
      </c>
      <c r="P13" s="56"/>
      <c r="Q13" s="5"/>
    </row>
    <row r="14" spans="1:17" ht="9" customHeight="1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"/>
    </row>
    <row r="15" spans="1:16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</row>
    <row r="32" spans="5:8" ht="16.5">
      <c r="E32" s="57"/>
      <c r="F32" s="57"/>
      <c r="G32" s="58"/>
      <c r="H32" s="58"/>
    </row>
    <row r="33" spans="5:8" ht="16.5">
      <c r="E33" s="59"/>
      <c r="F33" s="59"/>
      <c r="G33" s="59"/>
      <c r="H33" s="59"/>
    </row>
    <row r="38" spans="1:6" ht="16.5">
      <c r="A38" s="51"/>
      <c r="B38" s="51"/>
      <c r="C38" s="51"/>
      <c r="D38" s="51"/>
      <c r="E38" s="51"/>
      <c r="F38" s="51"/>
    </row>
    <row r="39" ht="16.5">
      <c r="C39" s="48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7" spans="1:5" ht="16.5">
      <c r="A47" s="60" t="s">
        <v>26</v>
      </c>
      <c r="B47" s="60" t="s">
        <v>27</v>
      </c>
      <c r="C47" s="60" t="s">
        <v>28</v>
      </c>
      <c r="D47" s="60"/>
      <c r="E47" s="61"/>
    </row>
    <row r="48" spans="1:3" ht="17.25">
      <c r="A48" s="62">
        <f>+B12</f>
        <v>1567215</v>
      </c>
      <c r="B48" s="63">
        <f>+C12</f>
        <v>1153330.7300000002</v>
      </c>
      <c r="C48" s="60" t="s">
        <v>1</v>
      </c>
    </row>
    <row r="49" spans="1:3" ht="17.25">
      <c r="A49" s="62">
        <f>+D12</f>
        <v>33506</v>
      </c>
      <c r="B49" s="63">
        <f>+E12</f>
        <v>42719.13</v>
      </c>
      <c r="C49" s="60" t="s">
        <v>2</v>
      </c>
    </row>
    <row r="50" spans="1:3" ht="17.25">
      <c r="A50" s="62">
        <f>+F12</f>
        <v>1518843</v>
      </c>
      <c r="B50" s="63">
        <f>+G12</f>
        <v>1182575.41</v>
      </c>
      <c r="C50" s="60" t="s">
        <v>3</v>
      </c>
    </row>
    <row r="51" spans="1:3" ht="17.25">
      <c r="A51" s="62">
        <f>+H12</f>
        <v>1024519</v>
      </c>
      <c r="B51" s="63">
        <f>+I12</f>
        <v>1061288.45</v>
      </c>
      <c r="C51" s="60" t="s">
        <v>34</v>
      </c>
    </row>
    <row r="52" spans="1:3" ht="17.25">
      <c r="A52" s="62">
        <f>+J12</f>
        <v>130000</v>
      </c>
      <c r="B52" s="63">
        <f>+K12</f>
        <v>95951.82</v>
      </c>
      <c r="C52" s="60" t="s">
        <v>32</v>
      </c>
    </row>
    <row r="53" spans="1:3" ht="17.25">
      <c r="A53" s="64">
        <f>+L12</f>
        <v>416000</v>
      </c>
      <c r="B53" s="63">
        <f>+M12</f>
        <v>13887.48</v>
      </c>
      <c r="C53" s="60" t="s">
        <v>102</v>
      </c>
    </row>
    <row r="54" spans="1:3" ht="17.25">
      <c r="A54" s="62">
        <f>+N12</f>
        <v>200000</v>
      </c>
      <c r="B54" s="63">
        <f>+O12</f>
        <v>166056.77</v>
      </c>
      <c r="C54" s="60" t="s">
        <v>35</v>
      </c>
    </row>
    <row r="55" spans="1:3" ht="17.25">
      <c r="A55" s="62">
        <f>SUM(A48:A54)</f>
        <v>4890083</v>
      </c>
      <c r="B55" s="63">
        <f>SUM(B48:B54)</f>
        <v>3715809.7899999996</v>
      </c>
      <c r="C55" s="60"/>
    </row>
    <row r="56" ht="16.5">
      <c r="B56" s="5"/>
    </row>
  </sheetData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45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2">
      <selection activeCell="E17" sqref="E17:K17"/>
    </sheetView>
  </sheetViews>
  <sheetFormatPr defaultColWidth="11.421875" defaultRowHeight="15"/>
  <cols>
    <col min="1" max="1" width="20.57421875" style="1" customWidth="1"/>
    <col min="2" max="2" width="14.421875" style="1" customWidth="1"/>
    <col min="3" max="3" width="13.140625" style="1" customWidth="1"/>
    <col min="4" max="4" width="8.7109375" style="1" customWidth="1"/>
    <col min="5" max="5" width="13.140625" style="1" customWidth="1"/>
    <col min="6" max="6" width="12.28125" style="1" customWidth="1"/>
    <col min="7" max="7" width="13.00390625" style="1" customWidth="1"/>
    <col min="8" max="8" width="13.140625" style="1" customWidth="1"/>
    <col min="9" max="9" width="12.28125" style="1" customWidth="1"/>
    <col min="10" max="10" width="13.28125" style="1" customWidth="1"/>
    <col min="11" max="11" width="12.57421875" style="1" customWidth="1"/>
    <col min="12" max="12" width="13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41</v>
      </c>
    </row>
    <row r="2" spans="1:3" ht="18.75" thickBot="1">
      <c r="A2" s="18" t="s">
        <v>42</v>
      </c>
      <c r="C2" s="148">
        <v>40787</v>
      </c>
    </row>
    <row r="3" spans="1:12" ht="18" thickTop="1">
      <c r="A3" s="2" t="s">
        <v>43</v>
      </c>
      <c r="B3" s="151" t="s">
        <v>139</v>
      </c>
      <c r="C3" s="151" t="s">
        <v>25</v>
      </c>
      <c r="D3" s="151" t="s">
        <v>44</v>
      </c>
      <c r="E3" s="185" t="s">
        <v>45</v>
      </c>
      <c r="F3" s="186"/>
      <c r="G3" s="186"/>
      <c r="H3" s="186"/>
      <c r="I3" s="186"/>
      <c r="J3" s="186"/>
      <c r="K3" s="187"/>
      <c r="L3" s="153" t="s">
        <v>24</v>
      </c>
    </row>
    <row r="4" spans="1:12" ht="17.25">
      <c r="A4" s="3"/>
      <c r="B4" s="152" t="s">
        <v>140</v>
      </c>
      <c r="C4" s="152" t="s">
        <v>46</v>
      </c>
      <c r="D4" s="152" t="s">
        <v>47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48</v>
      </c>
      <c r="J4" s="4" t="s">
        <v>29</v>
      </c>
      <c r="K4" s="4" t="s">
        <v>35</v>
      </c>
      <c r="L4" s="154" t="s">
        <v>49</v>
      </c>
    </row>
    <row r="5" spans="1:12" ht="16.5">
      <c r="A5" s="155" t="s">
        <v>15</v>
      </c>
      <c r="B5" s="99">
        <f>+INT!P12+INT!Q12</f>
        <v>6311773</v>
      </c>
      <c r="C5" s="99">
        <f>SUM(E5:K5)</f>
        <v>4311578.84</v>
      </c>
      <c r="D5" s="100">
        <f>+C5/B5</f>
        <v>0.6831010620945969</v>
      </c>
      <c r="E5" s="99">
        <f>+INT!C12</f>
        <v>1363441.93</v>
      </c>
      <c r="F5" s="99">
        <f>+INT!E$12</f>
        <v>26725.23</v>
      </c>
      <c r="G5" s="99">
        <f>+INT!G$12</f>
        <v>947592.87</v>
      </c>
      <c r="H5" s="99">
        <f>+INT!I$12</f>
        <v>1678252.97</v>
      </c>
      <c r="I5" s="99">
        <f>+INT!K$12</f>
        <v>10241</v>
      </c>
      <c r="J5" s="99">
        <f>+INT!M12</f>
        <v>80330.62</v>
      </c>
      <c r="K5" s="99">
        <f>+INT!O$12</f>
        <v>204994.21999999997</v>
      </c>
      <c r="L5" s="101">
        <f>+B5-C5</f>
        <v>2000194.1600000001</v>
      </c>
    </row>
    <row r="6" spans="1:12" ht="16.5">
      <c r="A6" s="155" t="s">
        <v>16</v>
      </c>
      <c r="B6" s="99">
        <f>+GOB!P17+GOB!Q17</f>
        <v>8869862.999999998</v>
      </c>
      <c r="C6" s="99">
        <f>SUM(E6:K6)</f>
        <v>6792699.530000001</v>
      </c>
      <c r="D6" s="100">
        <f>+C6/B6</f>
        <v>0.7658178632522287</v>
      </c>
      <c r="E6" s="99">
        <f>+GOB!C17</f>
        <v>3551374.3600000003</v>
      </c>
      <c r="F6" s="99">
        <f>+GOB!E17</f>
        <v>98269.4</v>
      </c>
      <c r="G6" s="99">
        <f>+GOB!G17</f>
        <v>1769053.34</v>
      </c>
      <c r="H6" s="99">
        <f>+GOB!I17</f>
        <v>755535.76</v>
      </c>
      <c r="I6" s="99">
        <f>+GOB!K17</f>
        <v>147701.19</v>
      </c>
      <c r="J6" s="99">
        <f>+GOB!M17</f>
        <v>168578.44</v>
      </c>
      <c r="K6" s="99">
        <f>+GOB!O17</f>
        <v>302187.04000000004</v>
      </c>
      <c r="L6" s="101">
        <f>+B6-C6</f>
        <v>2077163.469999997</v>
      </c>
    </row>
    <row r="7" spans="1:12" ht="16.5">
      <c r="A7" s="155" t="s">
        <v>17</v>
      </c>
      <c r="B7" s="99">
        <f>+SEH!P14+SEH!Q14</f>
        <v>7048092.000000001</v>
      </c>
      <c r="C7" s="99">
        <f>SUM(E7:K7)</f>
        <v>5684136.41</v>
      </c>
      <c r="D7" s="100">
        <f>+C7/B7</f>
        <v>0.8064787477234973</v>
      </c>
      <c r="E7" s="99">
        <f>+SEH!C14</f>
        <v>3349983.5200000005</v>
      </c>
      <c r="F7" s="99">
        <f>+SEH!E14</f>
        <v>541305.26</v>
      </c>
      <c r="G7" s="99">
        <f>+SEH!G14</f>
        <v>1276580.2000000002</v>
      </c>
      <c r="H7" s="99">
        <f>+SEH!I14</f>
        <v>714.56</v>
      </c>
      <c r="I7" s="99">
        <f>+SEH!K14</f>
        <v>159965.45</v>
      </c>
      <c r="J7" s="99">
        <f>+SEH!M14</f>
        <v>1857.55</v>
      </c>
      <c r="K7" s="99">
        <f>+SEH!O14</f>
        <v>353729.87000000005</v>
      </c>
      <c r="L7" s="101">
        <f>+B7-C7</f>
        <v>1363955.5900000008</v>
      </c>
    </row>
    <row r="8" spans="1:12" ht="16.5">
      <c r="A8" s="155" t="s">
        <v>20</v>
      </c>
      <c r="B8" s="99">
        <f>+SAS!P13+SAS!Q13</f>
        <v>17860415</v>
      </c>
      <c r="C8" s="99">
        <f aca="true" t="shared" si="0" ref="C8:C15">SUM(E8:K8)</f>
        <v>16302751.509999998</v>
      </c>
      <c r="D8" s="100">
        <f aca="true" t="shared" si="1" ref="D8:D15">+C8/B8</f>
        <v>0.9127868255020949</v>
      </c>
      <c r="E8" s="99">
        <f>+SAS!C13</f>
        <v>6483019.6899999995</v>
      </c>
      <c r="F8" s="99">
        <f>+SAS!E13</f>
        <v>100262.29</v>
      </c>
      <c r="G8" s="99">
        <f>+SAS!G13</f>
        <v>2331012.37</v>
      </c>
      <c r="H8" s="99">
        <f>+SAS!I13</f>
        <v>6654771.49</v>
      </c>
      <c r="I8" s="99">
        <f>+SAS!K13</f>
        <v>56593.939999999995</v>
      </c>
      <c r="J8" s="99">
        <f>+SAS!M13</f>
        <v>18995.440000000002</v>
      </c>
      <c r="K8" s="99">
        <f>+SAS!O13</f>
        <v>658096.2899999999</v>
      </c>
      <c r="L8" s="101">
        <f aca="true" t="shared" si="2" ref="L8:L15">+B8-C8</f>
        <v>1557663.490000002</v>
      </c>
    </row>
    <row r="9" spans="1:12" ht="16.5">
      <c r="A9" s="155" t="s">
        <v>18</v>
      </c>
      <c r="B9" s="99">
        <f>+SOP!P12+SOP!Q12</f>
        <v>22658670</v>
      </c>
      <c r="C9" s="99">
        <f t="shared" si="0"/>
        <v>21488242.68</v>
      </c>
      <c r="D9" s="100">
        <f t="shared" si="1"/>
        <v>0.9483452771058495</v>
      </c>
      <c r="E9" s="99">
        <f>+SOP!C12</f>
        <v>2850362.91</v>
      </c>
      <c r="F9" s="99">
        <f>+SOP!E12</f>
        <v>388096.47</v>
      </c>
      <c r="G9" s="99">
        <f>+SOP!G12</f>
        <v>1124356.6099999999</v>
      </c>
      <c r="H9" s="99">
        <f>+SOP!I12</f>
        <v>32296</v>
      </c>
      <c r="I9" s="99">
        <f>+SOP!K12</f>
        <v>190128.01</v>
      </c>
      <c r="J9" s="99">
        <f>+SOP!M12</f>
        <v>16467966.9</v>
      </c>
      <c r="K9" s="99">
        <f>+SOP!O12</f>
        <v>435035.77999999997</v>
      </c>
      <c r="L9" s="101">
        <f t="shared" si="2"/>
        <v>1170427.3200000003</v>
      </c>
    </row>
    <row r="10" spans="1:12" ht="16.5">
      <c r="A10" s="155" t="s">
        <v>85</v>
      </c>
      <c r="B10" s="99">
        <f>+SFOI!P13+SFOI!Q13</f>
        <v>14094178</v>
      </c>
      <c r="C10" s="99">
        <f t="shared" si="0"/>
        <v>11173885</v>
      </c>
      <c r="D10" s="100">
        <f t="shared" si="1"/>
        <v>0.792801467386037</v>
      </c>
      <c r="E10" s="99">
        <f>+SFOI!C13</f>
        <v>7733484.67</v>
      </c>
      <c r="F10" s="99">
        <f>+SFOI!E13</f>
        <v>310986.66</v>
      </c>
      <c r="G10" s="99">
        <f>+SFOI!G13</f>
        <v>2299031.35</v>
      </c>
      <c r="H10" s="99">
        <f>+SFOI!I13</f>
        <v>0</v>
      </c>
      <c r="I10" s="99">
        <f>+SFOI!K13</f>
        <v>70118.05</v>
      </c>
      <c r="J10" s="99">
        <f>+SFOI!M13</f>
        <v>18741.18</v>
      </c>
      <c r="K10" s="99">
        <f>+SFOI!O13</f>
        <v>741523.09</v>
      </c>
      <c r="L10" s="101">
        <f t="shared" si="2"/>
        <v>2920293</v>
      </c>
    </row>
    <row r="11" spans="1:12" ht="16.5">
      <c r="A11" s="155" t="s">
        <v>21</v>
      </c>
      <c r="B11" s="99">
        <f>+'CD'!P12+'CD'!Q12</f>
        <v>1601225</v>
      </c>
      <c r="C11" s="99">
        <f t="shared" si="0"/>
        <v>1068110.83</v>
      </c>
      <c r="D11" s="100">
        <f t="shared" si="1"/>
        <v>0.6670585520460898</v>
      </c>
      <c r="E11" s="99">
        <f>+'CD'!C12</f>
        <v>753886.4400000001</v>
      </c>
      <c r="F11" s="99">
        <f>+'CD'!E12</f>
        <v>18896.25</v>
      </c>
      <c r="G11" s="99">
        <f>+'CD'!G12</f>
        <v>65767.03</v>
      </c>
      <c r="H11" s="99">
        <f>+'CD'!I12</f>
        <v>168680.73</v>
      </c>
      <c r="I11" s="99">
        <f>+'CD'!K12</f>
        <v>6077.53</v>
      </c>
      <c r="J11" s="99">
        <f>+'CD'!M12</f>
        <v>0</v>
      </c>
      <c r="K11" s="99">
        <f>+'CD'!O12</f>
        <v>54802.850000000006</v>
      </c>
      <c r="L11" s="101">
        <f t="shared" si="2"/>
        <v>533114.1699999999</v>
      </c>
    </row>
    <row r="12" spans="1:12" ht="16.5">
      <c r="A12" s="155" t="s">
        <v>22</v>
      </c>
      <c r="B12" s="99">
        <f>+'CM'!N12+'CM'!O12</f>
        <v>464823</v>
      </c>
      <c r="C12" s="99">
        <f t="shared" si="0"/>
        <v>316895.98000000004</v>
      </c>
      <c r="D12" s="100">
        <f t="shared" si="1"/>
        <v>0.6817562383961208</v>
      </c>
      <c r="E12" s="99">
        <f>+'CM'!C12</f>
        <v>245686.92</v>
      </c>
      <c r="F12" s="99">
        <f>+'CM'!E12</f>
        <v>101.2</v>
      </c>
      <c r="G12" s="99">
        <f>+'CM'!G12</f>
        <v>43452.61</v>
      </c>
      <c r="H12" s="99">
        <f>+'CM'!I12</f>
        <v>0</v>
      </c>
      <c r="I12" s="99">
        <f>+'CM'!K12</f>
        <v>8271.81</v>
      </c>
      <c r="J12" s="99">
        <v>0</v>
      </c>
      <c r="K12" s="99">
        <f>+'CM'!M12</f>
        <v>19383.44</v>
      </c>
      <c r="L12" s="101">
        <f t="shared" si="2"/>
        <v>147927.01999999996</v>
      </c>
    </row>
    <row r="13" spans="1:12" ht="16.5">
      <c r="A13" s="155" t="s">
        <v>19</v>
      </c>
      <c r="B13" s="99">
        <f>+SSP!P13+SSP!Q13</f>
        <v>25073042</v>
      </c>
      <c r="C13" s="99">
        <f t="shared" si="0"/>
        <v>23172357.98</v>
      </c>
      <c r="D13" s="100">
        <f t="shared" si="1"/>
        <v>0.924194119724284</v>
      </c>
      <c r="E13" s="99">
        <f>+SSP!C13</f>
        <v>13222387.47</v>
      </c>
      <c r="F13" s="99">
        <f>+SSP!E13</f>
        <v>3480854.6300000004</v>
      </c>
      <c r="G13" s="99">
        <f>+SSP!G13</f>
        <v>3932553.3599999994</v>
      </c>
      <c r="H13" s="99">
        <f>+SSP!I13</f>
        <v>124840.63999999998</v>
      </c>
      <c r="I13" s="99">
        <f>+SSP!K13</f>
        <v>206810.7</v>
      </c>
      <c r="J13" s="99">
        <f>+SSP!M13</f>
        <v>1128426.32</v>
      </c>
      <c r="K13" s="99">
        <f>+SSP!O13</f>
        <v>1076484.86</v>
      </c>
      <c r="L13" s="101">
        <f t="shared" si="2"/>
        <v>1900684.0199999996</v>
      </c>
    </row>
    <row r="14" spans="1:12" ht="16.5">
      <c r="A14" s="155" t="s">
        <v>126</v>
      </c>
      <c r="B14" s="99">
        <f>+CULTURA!P16+CULTURA!Q16</f>
        <v>3196535.9999999995</v>
      </c>
      <c r="C14" s="99">
        <f t="shared" si="0"/>
        <v>2984162.0399999996</v>
      </c>
      <c r="D14" s="100">
        <f t="shared" si="1"/>
        <v>0.9335612175179632</v>
      </c>
      <c r="E14" s="99">
        <f>+CULTURA!C16</f>
        <v>1286892.1199999999</v>
      </c>
      <c r="F14" s="99">
        <f>+CULTURA!E16</f>
        <v>29852.269999999997</v>
      </c>
      <c r="G14" s="99">
        <f>+CULTURA!G16</f>
        <v>1178460.72</v>
      </c>
      <c r="H14" s="99">
        <f>+CULTURA!I16</f>
        <v>327959.48000000004</v>
      </c>
      <c r="I14" s="99">
        <f>+CULTURA!K16</f>
        <v>2940.44</v>
      </c>
      <c r="J14" s="99">
        <f>+CULTURA!M16</f>
        <v>34051.92</v>
      </c>
      <c r="K14" s="99">
        <f>+CULTURA!O16</f>
        <v>124005.09</v>
      </c>
      <c r="L14" s="101">
        <f t="shared" si="2"/>
        <v>212373.95999999996</v>
      </c>
    </row>
    <row r="15" spans="1:12" ht="16.5">
      <c r="A15" s="155" t="s">
        <v>127</v>
      </c>
      <c r="B15" s="99">
        <f>+DEPORTES!P12+DEPORTES!Q12</f>
        <v>4890083</v>
      </c>
      <c r="C15" s="99">
        <f t="shared" si="0"/>
        <v>3715809.7899999996</v>
      </c>
      <c r="D15" s="100">
        <f t="shared" si="1"/>
        <v>0.7598664051305468</v>
      </c>
      <c r="E15" s="99">
        <f>+DEPORTES!C12</f>
        <v>1153330.7300000002</v>
      </c>
      <c r="F15" s="99">
        <f>+DEPORTES!E12</f>
        <v>42719.13</v>
      </c>
      <c r="G15" s="99">
        <f>+DEPORTES!G12</f>
        <v>1182575.41</v>
      </c>
      <c r="H15" s="99">
        <f>+DEPORTES!I12</f>
        <v>1061288.45</v>
      </c>
      <c r="I15" s="99">
        <f>+DEPORTES!K12</f>
        <v>95951.82</v>
      </c>
      <c r="J15" s="99">
        <f>+DEPORTES!M12</f>
        <v>13887.48</v>
      </c>
      <c r="K15" s="99">
        <f>+DEPORTES!O12</f>
        <v>166056.77</v>
      </c>
      <c r="L15" s="101">
        <f t="shared" si="2"/>
        <v>1174273.2100000004</v>
      </c>
    </row>
    <row r="16" spans="1:12" ht="17.25">
      <c r="A16" s="16" t="s">
        <v>11</v>
      </c>
      <c r="B16" s="11">
        <f>SUM(B5:B15)</f>
        <v>112068700</v>
      </c>
      <c r="C16" s="11">
        <f>SUM(C5:C15)</f>
        <v>97010630.59000002</v>
      </c>
      <c r="D16" s="12">
        <f>+C16/B16</f>
        <v>0.8656353700007229</v>
      </c>
      <c r="E16" s="11">
        <f aca="true" t="shared" si="3" ref="E16:L16">SUM(E5:E15)</f>
        <v>41993850.76</v>
      </c>
      <c r="F16" s="11">
        <f t="shared" si="3"/>
        <v>5038068.79</v>
      </c>
      <c r="G16" s="11">
        <f t="shared" si="3"/>
        <v>16150435.87</v>
      </c>
      <c r="H16" s="11">
        <f t="shared" si="3"/>
        <v>10804340.080000002</v>
      </c>
      <c r="I16" s="11">
        <f t="shared" si="3"/>
        <v>954799.9400000002</v>
      </c>
      <c r="J16" s="11">
        <f t="shared" si="3"/>
        <v>17932835.85</v>
      </c>
      <c r="K16" s="11">
        <f t="shared" si="3"/>
        <v>4136299.3000000003</v>
      </c>
      <c r="L16" s="19">
        <f t="shared" si="3"/>
        <v>15058069.41</v>
      </c>
    </row>
    <row r="17" spans="1:12" ht="18" thickBot="1">
      <c r="A17" s="15" t="s">
        <v>50</v>
      </c>
      <c r="B17" s="6"/>
      <c r="C17" s="7"/>
      <c r="D17" s="8"/>
      <c r="E17" s="13">
        <f>+E16/53000000</f>
        <v>0.7923368067924528</v>
      </c>
      <c r="F17" s="14">
        <f>+F16/5358488</f>
        <v>0.9402034286537546</v>
      </c>
      <c r="G17" s="14">
        <f>+G16/18257225</f>
        <v>0.8846051834273828</v>
      </c>
      <c r="H17" s="14">
        <f>+H16/10880908</f>
        <v>0.9929630946240885</v>
      </c>
      <c r="I17" s="14">
        <f>+I16/2235720</f>
        <v>0.42706597427227033</v>
      </c>
      <c r="J17" s="14">
        <f>+J16/18001959</f>
        <v>0.9961602428935652</v>
      </c>
      <c r="K17" s="14">
        <f>+K16/4334400</f>
        <v>0.954295704134367</v>
      </c>
      <c r="L17" s="9"/>
    </row>
    <row r="18" spans="2:12" ht="17.25" thickTop="1">
      <c r="B18" s="5"/>
      <c r="C18" s="50"/>
      <c r="D18" s="5"/>
      <c r="L18" s="5"/>
    </row>
    <row r="19" spans="8:11" ht="16.5">
      <c r="H19" s="5"/>
      <c r="I19" s="5"/>
      <c r="J19" s="5"/>
      <c r="K19" s="126" t="s">
        <v>51</v>
      </c>
    </row>
    <row r="20" ht="16.5">
      <c r="K20" s="126"/>
    </row>
    <row r="21" ht="16.5">
      <c r="K21" s="127" t="s">
        <v>52</v>
      </c>
    </row>
    <row r="22" ht="16.5">
      <c r="K22" s="126"/>
    </row>
    <row r="23" ht="16.5">
      <c r="K23" s="149" t="s">
        <v>53</v>
      </c>
    </row>
    <row r="24" ht="16.5">
      <c r="K24" s="126"/>
    </row>
    <row r="25" ht="16.5">
      <c r="K25" s="128" t="s">
        <v>54</v>
      </c>
    </row>
    <row r="26" ht="16.5">
      <c r="K26" s="126"/>
    </row>
    <row r="27" ht="16.5">
      <c r="K27" s="133" t="s">
        <v>55</v>
      </c>
    </row>
    <row r="28" ht="16.5">
      <c r="K28" s="126"/>
    </row>
    <row r="29" ht="16.5">
      <c r="K29" s="129" t="s">
        <v>56</v>
      </c>
    </row>
    <row r="30" ht="16.5">
      <c r="K30" s="126"/>
    </row>
    <row r="31" ht="16.5">
      <c r="K31" s="130" t="s">
        <v>57</v>
      </c>
    </row>
    <row r="32" ht="16.5">
      <c r="K32" s="126"/>
    </row>
    <row r="33" ht="16.5">
      <c r="K33" s="131" t="s">
        <v>58</v>
      </c>
    </row>
    <row r="34" ht="16.5">
      <c r="K34" s="126"/>
    </row>
    <row r="35" ht="16.5">
      <c r="K35" s="132" t="s">
        <v>59</v>
      </c>
    </row>
    <row r="60" spans="5:13" ht="16.5">
      <c r="E60" s="1" t="s">
        <v>59</v>
      </c>
      <c r="F60" s="1" t="s">
        <v>58</v>
      </c>
      <c r="G60" s="1" t="s">
        <v>57</v>
      </c>
      <c r="H60" s="1" t="s">
        <v>60</v>
      </c>
      <c r="I60" s="1" t="s">
        <v>61</v>
      </c>
      <c r="J60" s="1" t="s">
        <v>62</v>
      </c>
      <c r="K60" s="1" t="s">
        <v>53</v>
      </c>
      <c r="L60" s="1" t="s">
        <v>63</v>
      </c>
      <c r="M60" s="1" t="s">
        <v>64</v>
      </c>
    </row>
    <row r="61" spans="1:13" ht="16.5">
      <c r="A61" s="1" t="s">
        <v>65</v>
      </c>
      <c r="E61" s="10">
        <f>+E5/B5</f>
        <v>0.2160156789542336</v>
      </c>
      <c r="F61" s="10">
        <f aca="true" t="shared" si="4" ref="F61:L61">+F5/$B$5</f>
        <v>0.004234187446221529</v>
      </c>
      <c r="G61" s="10">
        <f t="shared" si="4"/>
        <v>0.15013101231619072</v>
      </c>
      <c r="H61" s="10">
        <f t="shared" si="4"/>
        <v>0.2658924790229306</v>
      </c>
      <c r="I61" s="10">
        <f t="shared" si="4"/>
        <v>0.0016225234969635316</v>
      </c>
      <c r="J61" s="10">
        <f t="shared" si="4"/>
        <v>0.012727108531944985</v>
      </c>
      <c r="K61" s="10">
        <f t="shared" si="4"/>
        <v>0.03247807232611185</v>
      </c>
      <c r="L61" s="10">
        <f t="shared" si="4"/>
        <v>0.31689893790540313</v>
      </c>
      <c r="M61" s="10">
        <f>SUM(E61:L61)</f>
        <v>1</v>
      </c>
    </row>
    <row r="62" spans="1:13" ht="16.5">
      <c r="A62" s="1" t="s">
        <v>95</v>
      </c>
      <c r="E62" s="10">
        <f>+E6/B6</f>
        <v>0.4003866080005972</v>
      </c>
      <c r="F62" s="10">
        <f>+F6/B6</f>
        <v>0.011079021175411617</v>
      </c>
      <c r="G62" s="10">
        <f>+G6/B6</f>
        <v>0.19944539616902768</v>
      </c>
      <c r="H62" s="10">
        <f>+H6/B6</f>
        <v>0.0851800935369577</v>
      </c>
      <c r="I62" s="10">
        <f>+I6/B6</f>
        <v>0.01665202607977147</v>
      </c>
      <c r="J62" s="10">
        <f>+J6/B6</f>
        <v>0.019005754654835148</v>
      </c>
      <c r="K62" s="10">
        <f>+K6/B6</f>
        <v>0.03406896363562775</v>
      </c>
      <c r="L62" s="10">
        <f>+L6/B6</f>
        <v>0.23418213674777136</v>
      </c>
      <c r="M62" s="10">
        <f>SUM(E62:L62)</f>
        <v>0.9999999999999998</v>
      </c>
    </row>
    <row r="63" spans="1:13" ht="16.5">
      <c r="A63" s="1" t="s">
        <v>96</v>
      </c>
      <c r="E63" s="10">
        <f>+E7/B7</f>
        <v>0.47530360273390304</v>
      </c>
      <c r="F63" s="10">
        <f>+F7/B7</f>
        <v>0.07680167341742984</v>
      </c>
      <c r="G63" s="10">
        <f>+G7/B7</f>
        <v>0.18112422482566914</v>
      </c>
      <c r="H63" s="10">
        <f>+H7/B7</f>
        <v>0.0001013834666176321</v>
      </c>
      <c r="I63" s="10">
        <f>+I7/B7</f>
        <v>0.022696277233611593</v>
      </c>
      <c r="J63" s="10">
        <f>+J7/B7</f>
        <v>0.00026355359720049053</v>
      </c>
      <c r="K63" s="10">
        <f>+K7/B7</f>
        <v>0.050188032449065646</v>
      </c>
      <c r="L63" s="10">
        <f>+L7/B7</f>
        <v>0.19352125227650271</v>
      </c>
      <c r="M63" s="10">
        <f>SUM(E63:L63)</f>
        <v>1</v>
      </c>
    </row>
    <row r="64" spans="1:13" ht="16.5">
      <c r="A64" s="1" t="s">
        <v>66</v>
      </c>
      <c r="E64" s="10">
        <f aca="true" t="shared" si="5" ref="E64:L64">+E8/$B$8</f>
        <v>0.3629825897102615</v>
      </c>
      <c r="F64" s="10">
        <f t="shared" si="5"/>
        <v>0.005613659593016175</v>
      </c>
      <c r="G64" s="10">
        <f t="shared" si="5"/>
        <v>0.13051277755864016</v>
      </c>
      <c r="H64" s="10">
        <f t="shared" si="5"/>
        <v>0.37259892841235775</v>
      </c>
      <c r="I64" s="10">
        <f t="shared" si="5"/>
        <v>0.0031686800110747705</v>
      </c>
      <c r="J64" s="10">
        <f t="shared" si="5"/>
        <v>0.0010635497551428677</v>
      </c>
      <c r="K64" s="10">
        <f t="shared" si="5"/>
        <v>0.03684664046160181</v>
      </c>
      <c r="L64" s="10">
        <f t="shared" si="5"/>
        <v>0.08721317449790512</v>
      </c>
      <c r="M64" s="10">
        <f aca="true" t="shared" si="6" ref="M64:M71">SUM(E64:L64)</f>
        <v>1.0000000000000002</v>
      </c>
    </row>
    <row r="65" spans="1:13" ht="16.5">
      <c r="A65" s="1" t="s">
        <v>67</v>
      </c>
      <c r="E65" s="10">
        <f>+E9/$B$9</f>
        <v>0.1257956848305748</v>
      </c>
      <c r="F65" s="10">
        <f aca="true" t="shared" si="7" ref="F65:L65">+F9/$B$9</f>
        <v>0.017127945726735063</v>
      </c>
      <c r="G65" s="10">
        <f t="shared" si="7"/>
        <v>0.04962147425246053</v>
      </c>
      <c r="H65" s="10">
        <f t="shared" si="7"/>
        <v>0.0014253263761730057</v>
      </c>
      <c r="I65" s="10">
        <f t="shared" si="7"/>
        <v>0.008390960722760868</v>
      </c>
      <c r="J65" s="10">
        <f t="shared" si="7"/>
        <v>0.7267843567164357</v>
      </c>
      <c r="K65" s="10">
        <f t="shared" si="7"/>
        <v>0.01919952848070959</v>
      </c>
      <c r="L65" s="10">
        <f t="shared" si="7"/>
        <v>0.05165472289415046</v>
      </c>
      <c r="M65" s="10">
        <f t="shared" si="6"/>
        <v>1</v>
      </c>
    </row>
    <row r="66" spans="1:13" ht="16.5">
      <c r="A66" s="1" t="s">
        <v>70</v>
      </c>
      <c r="E66" s="10">
        <f>+E10/$B$10</f>
        <v>0.5487006528511276</v>
      </c>
      <c r="F66" s="10">
        <f aca="true" t="shared" si="8" ref="F66:L66">+F10/$B$10</f>
        <v>0.022064902259642243</v>
      </c>
      <c r="G66" s="10">
        <f t="shared" si="8"/>
        <v>0.16311922199364873</v>
      </c>
      <c r="H66" s="10">
        <f t="shared" si="8"/>
        <v>0</v>
      </c>
      <c r="I66" s="10">
        <f t="shared" si="8"/>
        <v>0.0049749655496049506</v>
      </c>
      <c r="J66" s="10">
        <f t="shared" si="8"/>
        <v>0.0013297107500699935</v>
      </c>
      <c r="K66" s="10">
        <f t="shared" si="8"/>
        <v>0.05261201398194346</v>
      </c>
      <c r="L66" s="10">
        <f t="shared" si="8"/>
        <v>0.207198532613963</v>
      </c>
      <c r="M66" s="10">
        <f t="shared" si="6"/>
        <v>1</v>
      </c>
    </row>
    <row r="67" spans="1:13" ht="16.5">
      <c r="A67" s="1" t="s">
        <v>68</v>
      </c>
      <c r="E67" s="10">
        <f>+E11/$B$11</f>
        <v>0.47081855454417715</v>
      </c>
      <c r="F67" s="10">
        <f aca="true" t="shared" si="9" ref="F67:L67">+F11/$B$11</f>
        <v>0.011801121016721573</v>
      </c>
      <c r="G67" s="10">
        <f t="shared" si="9"/>
        <v>0.041072947274742776</v>
      </c>
      <c r="H67" s="10">
        <f t="shared" si="9"/>
        <v>0.10534480163624725</v>
      </c>
      <c r="I67" s="10">
        <f t="shared" si="9"/>
        <v>0.003795550281815485</v>
      </c>
      <c r="J67" s="10">
        <f t="shared" si="9"/>
        <v>0</v>
      </c>
      <c r="K67" s="10">
        <f t="shared" si="9"/>
        <v>0.03422557729238552</v>
      </c>
      <c r="L67" s="10">
        <f t="shared" si="9"/>
        <v>0.33294144795391023</v>
      </c>
      <c r="M67" s="10">
        <f t="shared" si="6"/>
        <v>1</v>
      </c>
    </row>
    <row r="68" spans="1:13" ht="16.5">
      <c r="A68" s="1" t="s">
        <v>99</v>
      </c>
      <c r="E68" s="10">
        <f>+E12/$B$12</f>
        <v>0.5285601616099032</v>
      </c>
      <c r="F68" s="10">
        <f aca="true" t="shared" si="10" ref="F68:L68">+F12/$B$12</f>
        <v>0.00021771728163193303</v>
      </c>
      <c r="G68" s="10">
        <f t="shared" si="10"/>
        <v>0.09348205661079594</v>
      </c>
      <c r="H68" s="10">
        <f t="shared" si="10"/>
        <v>0</v>
      </c>
      <c r="I68" s="10">
        <f t="shared" si="10"/>
        <v>0.017795612523476678</v>
      </c>
      <c r="J68" s="10">
        <f t="shared" si="10"/>
        <v>0</v>
      </c>
      <c r="K68" s="10">
        <f t="shared" si="10"/>
        <v>0.041700690370313</v>
      </c>
      <c r="L68" s="10">
        <f t="shared" si="10"/>
        <v>0.31824376160387924</v>
      </c>
      <c r="M68" s="10">
        <f t="shared" si="6"/>
        <v>0.9999999999999999</v>
      </c>
    </row>
    <row r="69" spans="1:13" ht="16.5">
      <c r="A69" s="1" t="s">
        <v>71</v>
      </c>
      <c r="E69" s="10">
        <f>+E13/$B$13</f>
        <v>0.5273547370119669</v>
      </c>
      <c r="F69" s="10">
        <f aca="true" t="shared" si="11" ref="F69:L69">+F13/$B$13</f>
        <v>0.13882857253619246</v>
      </c>
      <c r="G69" s="10">
        <f t="shared" si="11"/>
        <v>0.1568438867529516</v>
      </c>
      <c r="H69" s="10">
        <f t="shared" si="11"/>
        <v>0.0049790783264352205</v>
      </c>
      <c r="I69" s="10">
        <f t="shared" si="11"/>
        <v>0.00824832902206282</v>
      </c>
      <c r="J69" s="10">
        <f t="shared" si="11"/>
        <v>0.045005560952675785</v>
      </c>
      <c r="K69" s="10">
        <f t="shared" si="11"/>
        <v>0.042933955121999164</v>
      </c>
      <c r="L69" s="10">
        <f t="shared" si="11"/>
        <v>0.07580588027571603</v>
      </c>
      <c r="M69" s="10">
        <f t="shared" si="6"/>
        <v>0.9999999999999999</v>
      </c>
    </row>
    <row r="70" spans="1:13" ht="16.5">
      <c r="A70" s="1" t="s">
        <v>72</v>
      </c>
      <c r="E70" s="10">
        <f>+E14/$B$14</f>
        <v>0.4025895907319674</v>
      </c>
      <c r="F70" s="10">
        <f aca="true" t="shared" si="12" ref="F70:L70">+F14/$B$14</f>
        <v>0.009338943781643629</v>
      </c>
      <c r="G70" s="10">
        <f t="shared" si="12"/>
        <v>0.36866805817297227</v>
      </c>
      <c r="H70" s="10">
        <f t="shared" si="12"/>
        <v>0.10259840026829045</v>
      </c>
      <c r="I70" s="10">
        <f t="shared" si="12"/>
        <v>0.0009198832736437195</v>
      </c>
      <c r="J70" s="10">
        <f t="shared" si="12"/>
        <v>0.010652756609029276</v>
      </c>
      <c r="K70" s="10">
        <f t="shared" si="12"/>
        <v>0.038793584680416555</v>
      </c>
      <c r="L70" s="10">
        <f t="shared" si="12"/>
        <v>0.0664387824820368</v>
      </c>
      <c r="M70" s="10">
        <f t="shared" si="6"/>
        <v>1</v>
      </c>
    </row>
    <row r="71" spans="1:13" ht="16.5">
      <c r="A71" s="1" t="s">
        <v>69</v>
      </c>
      <c r="E71" s="10">
        <f>+E15/$B$15</f>
        <v>0.23585095181411037</v>
      </c>
      <c r="F71" s="10">
        <f aca="true" t="shared" si="13" ref="F71:L71">+F15/$B$15</f>
        <v>0.008735870127357756</v>
      </c>
      <c r="G71" s="10">
        <f t="shared" si="13"/>
        <v>0.24183135746366677</v>
      </c>
      <c r="H71" s="10">
        <f t="shared" si="13"/>
        <v>0.21702871914443986</v>
      </c>
      <c r="I71" s="10">
        <f t="shared" si="13"/>
        <v>0.019621716032222767</v>
      </c>
      <c r="J71" s="10">
        <f t="shared" si="13"/>
        <v>0.002839927256858421</v>
      </c>
      <c r="K71" s="10">
        <f t="shared" si="13"/>
        <v>0.033957863291890954</v>
      </c>
      <c r="L71" s="10">
        <f t="shared" si="13"/>
        <v>0.24013359486945324</v>
      </c>
      <c r="M71" s="10">
        <f t="shared" si="6"/>
        <v>1.0000000000000002</v>
      </c>
    </row>
  </sheetData>
  <mergeCells count="1">
    <mergeCell ref="E3:K3"/>
  </mergeCells>
  <printOptions horizontalCentered="1"/>
  <pageMargins left="0.84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N10" sqref="N10"/>
    </sheetView>
  </sheetViews>
  <sheetFormatPr defaultColWidth="11.421875" defaultRowHeight="15"/>
  <cols>
    <col min="1" max="1" width="20.57421875" style="1" customWidth="1"/>
    <col min="2" max="2" width="14.00390625" style="1" customWidth="1"/>
    <col min="3" max="3" width="13.140625" style="1" customWidth="1"/>
    <col min="4" max="4" width="12.7109375" style="1" customWidth="1"/>
    <col min="5" max="5" width="7.7109375" style="1" customWidth="1"/>
    <col min="6" max="6" width="13.421875" style="1" customWidth="1"/>
    <col min="7" max="7" width="12.00390625" style="1" customWidth="1"/>
    <col min="8" max="10" width="12.7109375" style="1" customWidth="1"/>
    <col min="11" max="11" width="12.8515625" style="1" customWidth="1"/>
    <col min="12" max="12" width="12.140625" style="1" customWidth="1"/>
    <col min="13" max="13" width="12.8515625" style="1" customWidth="1"/>
    <col min="14" max="14" width="11.421875" style="1" customWidth="1"/>
    <col min="15" max="15" width="12.28125" style="1" bestFit="1" customWidth="1"/>
    <col min="16" max="16384" width="11.421875" style="1" customWidth="1"/>
  </cols>
  <sheetData>
    <row r="1" ht="16.5">
      <c r="A1" s="17" t="s">
        <v>41</v>
      </c>
    </row>
    <row r="2" spans="1:4" ht="18.75" thickBot="1">
      <c r="A2" s="18" t="s">
        <v>42</v>
      </c>
      <c r="C2" s="148">
        <v>40787</v>
      </c>
      <c r="D2" s="148"/>
    </row>
    <row r="3" spans="1:13" ht="18" thickTop="1">
      <c r="A3" s="2" t="s">
        <v>43</v>
      </c>
      <c r="B3" s="151" t="s">
        <v>139</v>
      </c>
      <c r="C3" s="151" t="s">
        <v>25</v>
      </c>
      <c r="D3" s="151" t="s">
        <v>137</v>
      </c>
      <c r="E3" s="151" t="s">
        <v>44</v>
      </c>
      <c r="F3" s="185" t="s">
        <v>138</v>
      </c>
      <c r="G3" s="186"/>
      <c r="H3" s="186"/>
      <c r="I3" s="186"/>
      <c r="J3" s="186"/>
      <c r="K3" s="186"/>
      <c r="L3" s="187"/>
      <c r="M3" s="153" t="s">
        <v>24</v>
      </c>
    </row>
    <row r="4" spans="1:13" ht="17.25">
      <c r="A4" s="3"/>
      <c r="B4" s="152" t="s">
        <v>140</v>
      </c>
      <c r="C4" s="152" t="s">
        <v>46</v>
      </c>
      <c r="D4" s="152" t="s">
        <v>46</v>
      </c>
      <c r="E4" s="152" t="s">
        <v>5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48</v>
      </c>
      <c r="K4" s="4" t="s">
        <v>29</v>
      </c>
      <c r="L4" s="4" t="s">
        <v>35</v>
      </c>
      <c r="M4" s="154" t="s">
        <v>49</v>
      </c>
    </row>
    <row r="5" spans="1:13" ht="16.5">
      <c r="A5" s="155" t="s">
        <v>15</v>
      </c>
      <c r="B5" s="99">
        <f>+INT!P12+INT!Q12</f>
        <v>6311773</v>
      </c>
      <c r="C5" s="99">
        <f>SUM(F5:L5)-D5</f>
        <v>4311578.84</v>
      </c>
      <c r="D5" s="99">
        <v>1276714.85</v>
      </c>
      <c r="E5" s="100">
        <f>(C5+D5)/B5</f>
        <v>0.8853762152092605</v>
      </c>
      <c r="F5" s="99">
        <f>+INT!C12</f>
        <v>1363441.93</v>
      </c>
      <c r="G5" s="99">
        <f>+INT!E$12</f>
        <v>26725.23</v>
      </c>
      <c r="H5" s="99">
        <f>+INT!G$12+88000</f>
        <v>1035592.87</v>
      </c>
      <c r="I5" s="99">
        <f>+INT!I$12</f>
        <v>1678252.97</v>
      </c>
      <c r="J5" s="99">
        <f>+INT!K$12+1188714.85</f>
        <v>1198955.85</v>
      </c>
      <c r="K5" s="99">
        <f>+INT!M12</f>
        <v>80330.62</v>
      </c>
      <c r="L5" s="99">
        <f>+INT!O$12</f>
        <v>204994.21999999997</v>
      </c>
      <c r="M5" s="101">
        <f>+B5-C5-D5</f>
        <v>723479.31</v>
      </c>
    </row>
    <row r="6" spans="1:13" ht="16.5">
      <c r="A6" s="155" t="s">
        <v>16</v>
      </c>
      <c r="B6" s="99">
        <f>+GOB!P17+GOB!Q17</f>
        <v>8869862.999999998</v>
      </c>
      <c r="C6" s="99">
        <f aca="true" t="shared" si="0" ref="C6:C15">SUM(F6:L6)-D6</f>
        <v>6792699.530000001</v>
      </c>
      <c r="D6" s="99">
        <v>88000</v>
      </c>
      <c r="E6" s="100">
        <f aca="true" t="shared" si="1" ref="E6:E15">(C6+D6)/B6</f>
        <v>0.7757390987887866</v>
      </c>
      <c r="F6" s="99">
        <f>+GOB!C17</f>
        <v>3551374.3600000003</v>
      </c>
      <c r="G6" s="99">
        <f>+GOB!E17</f>
        <v>98269.4</v>
      </c>
      <c r="H6" s="99">
        <f>+GOB!G17+88000</f>
        <v>1857053.34</v>
      </c>
      <c r="I6" s="99">
        <f>+GOB!I17</f>
        <v>755535.76</v>
      </c>
      <c r="J6" s="99">
        <f>+GOB!K17</f>
        <v>147701.19</v>
      </c>
      <c r="K6" s="99">
        <f>+GOB!M17</f>
        <v>168578.44</v>
      </c>
      <c r="L6" s="99">
        <f>+GOB!O17</f>
        <v>302187.04000000004</v>
      </c>
      <c r="M6" s="101">
        <f aca="true" t="shared" si="2" ref="M6:M15">+B6-C6-D6</f>
        <v>1989163.469999997</v>
      </c>
    </row>
    <row r="7" spans="1:13" ht="16.5">
      <c r="A7" s="155" t="s">
        <v>17</v>
      </c>
      <c r="B7" s="99">
        <f>+SEH!P14+SEH!Q14</f>
        <v>7048092.000000001</v>
      </c>
      <c r="C7" s="99">
        <f t="shared" si="0"/>
        <v>5684136.41</v>
      </c>
      <c r="D7" s="99">
        <v>96000</v>
      </c>
      <c r="E7" s="100">
        <f t="shared" si="1"/>
        <v>0.8200994552852033</v>
      </c>
      <c r="F7" s="99">
        <f>+SEH!C14</f>
        <v>3349983.5200000005</v>
      </c>
      <c r="G7" s="99">
        <f>+SEH!E14</f>
        <v>541305.26</v>
      </c>
      <c r="H7" s="99">
        <f>+SEH!G14+96000</f>
        <v>1372580.2000000002</v>
      </c>
      <c r="I7" s="99">
        <f>+SEH!I14</f>
        <v>714.56</v>
      </c>
      <c r="J7" s="99">
        <f>+SEH!K14</f>
        <v>159965.45</v>
      </c>
      <c r="K7" s="99">
        <f>+SEH!M14</f>
        <v>1857.55</v>
      </c>
      <c r="L7" s="99">
        <f>+SEH!O14</f>
        <v>353729.87000000005</v>
      </c>
      <c r="M7" s="101">
        <f t="shared" si="2"/>
        <v>1267955.5900000008</v>
      </c>
    </row>
    <row r="8" spans="1:13" ht="16.5">
      <c r="A8" s="155" t="s">
        <v>20</v>
      </c>
      <c r="B8" s="99">
        <f>+SAS!P13+SAS!Q13</f>
        <v>17860415</v>
      </c>
      <c r="C8" s="99">
        <f t="shared" si="0"/>
        <v>16302751.509999998</v>
      </c>
      <c r="D8" s="99">
        <v>88000</v>
      </c>
      <c r="E8" s="100">
        <f t="shared" si="1"/>
        <v>0.9177139226608115</v>
      </c>
      <c r="F8" s="99">
        <f>+SAS!C13</f>
        <v>6483019.6899999995</v>
      </c>
      <c r="G8" s="99">
        <f>+SAS!E13</f>
        <v>100262.29</v>
      </c>
      <c r="H8" s="99">
        <f>+SAS!G13+88000</f>
        <v>2419012.37</v>
      </c>
      <c r="I8" s="99">
        <f>+SAS!I13</f>
        <v>6654771.49</v>
      </c>
      <c r="J8" s="99">
        <f>+SAS!K13</f>
        <v>56593.939999999995</v>
      </c>
      <c r="K8" s="99">
        <f>+SAS!M13</f>
        <v>18995.440000000002</v>
      </c>
      <c r="L8" s="99">
        <f>+SAS!O13</f>
        <v>658096.2899999999</v>
      </c>
      <c r="M8" s="101">
        <f t="shared" si="2"/>
        <v>1469663.490000002</v>
      </c>
    </row>
    <row r="9" spans="1:13" ht="16.5">
      <c r="A9" s="155" t="s">
        <v>18</v>
      </c>
      <c r="B9" s="99">
        <f>+SOP!P12+SOP!Q12</f>
        <v>22658670</v>
      </c>
      <c r="C9" s="99">
        <f t="shared" si="0"/>
        <v>21488242.68</v>
      </c>
      <c r="D9" s="99">
        <v>259053.73</v>
      </c>
      <c r="E9" s="100">
        <f t="shared" si="1"/>
        <v>0.9597781515861258</v>
      </c>
      <c r="F9" s="99">
        <f>+SOP!C12</f>
        <v>2850362.91</v>
      </c>
      <c r="G9" s="99">
        <f>+SOP!E12</f>
        <v>388096.47</v>
      </c>
      <c r="H9" s="99">
        <f>+SOP!G12+259053.73</f>
        <v>1383410.3399999999</v>
      </c>
      <c r="I9" s="99">
        <f>+SOP!I12</f>
        <v>32296</v>
      </c>
      <c r="J9" s="99">
        <f>+SOP!K12</f>
        <v>190128.01</v>
      </c>
      <c r="K9" s="99">
        <f>+SOP!M12</f>
        <v>16467966.9</v>
      </c>
      <c r="L9" s="99">
        <f>+SOP!O12</f>
        <v>435035.77999999997</v>
      </c>
      <c r="M9" s="101">
        <f t="shared" si="2"/>
        <v>911373.5900000003</v>
      </c>
    </row>
    <row r="10" spans="1:13" ht="16.5">
      <c r="A10" s="155" t="s">
        <v>85</v>
      </c>
      <c r="B10" s="99">
        <f>+SFOI!P13+SFOI!Q13</f>
        <v>14094178</v>
      </c>
      <c r="C10" s="99">
        <f t="shared" si="0"/>
        <v>11173885</v>
      </c>
      <c r="D10" s="99">
        <v>88000</v>
      </c>
      <c r="E10" s="100">
        <f t="shared" si="1"/>
        <v>0.7990451802155472</v>
      </c>
      <c r="F10" s="99">
        <f>+SFOI!C13</f>
        <v>7733484.67</v>
      </c>
      <c r="G10" s="99">
        <f>+SFOI!E13</f>
        <v>310986.66</v>
      </c>
      <c r="H10" s="99">
        <f>+SFOI!G13+88000</f>
        <v>2387031.35</v>
      </c>
      <c r="I10" s="99">
        <f>+SFOI!I13</f>
        <v>0</v>
      </c>
      <c r="J10" s="99">
        <f>+SFOI!K13</f>
        <v>70118.05</v>
      </c>
      <c r="K10" s="99">
        <f>+SFOI!M13</f>
        <v>18741.18</v>
      </c>
      <c r="L10" s="99">
        <f>+SFOI!O13</f>
        <v>741523.09</v>
      </c>
      <c r="M10" s="101">
        <f t="shared" si="2"/>
        <v>2832293</v>
      </c>
    </row>
    <row r="11" spans="1:13" ht="16.5">
      <c r="A11" s="155" t="s">
        <v>21</v>
      </c>
      <c r="B11" s="99">
        <f>+'CD'!P12+'CD'!Q12</f>
        <v>1601225</v>
      </c>
      <c r="C11" s="99">
        <f t="shared" si="0"/>
        <v>1068110.83</v>
      </c>
      <c r="D11" s="99">
        <v>0</v>
      </c>
      <c r="E11" s="100">
        <f t="shared" si="1"/>
        <v>0.6670585520460898</v>
      </c>
      <c r="F11" s="99">
        <f>+'CD'!C12</f>
        <v>753886.4400000001</v>
      </c>
      <c r="G11" s="99">
        <f>+'CD'!E12</f>
        <v>18896.25</v>
      </c>
      <c r="H11" s="99">
        <f>+'CD'!G12</f>
        <v>65767.03</v>
      </c>
      <c r="I11" s="99">
        <f>+'CD'!I12</f>
        <v>168680.73</v>
      </c>
      <c r="J11" s="99">
        <f>+'CD'!K12</f>
        <v>6077.53</v>
      </c>
      <c r="K11" s="99">
        <f>+'CD'!M12</f>
        <v>0</v>
      </c>
      <c r="L11" s="99">
        <f>+'CD'!O12</f>
        <v>54802.850000000006</v>
      </c>
      <c r="M11" s="101">
        <f t="shared" si="2"/>
        <v>533114.1699999999</v>
      </c>
    </row>
    <row r="12" spans="1:13" ht="16.5">
      <c r="A12" s="155" t="s">
        <v>22</v>
      </c>
      <c r="B12" s="99">
        <f>+'CM'!N12+'CM'!O12</f>
        <v>464823</v>
      </c>
      <c r="C12" s="99">
        <f t="shared" si="0"/>
        <v>316895.98000000004</v>
      </c>
      <c r="D12" s="99">
        <v>0</v>
      </c>
      <c r="E12" s="100">
        <f t="shared" si="1"/>
        <v>0.6817562383961208</v>
      </c>
      <c r="F12" s="99">
        <f>+'CM'!C12</f>
        <v>245686.92</v>
      </c>
      <c r="G12" s="99">
        <f>+'CM'!E12</f>
        <v>101.2</v>
      </c>
      <c r="H12" s="99">
        <f>+'CM'!G12</f>
        <v>43452.61</v>
      </c>
      <c r="I12" s="99">
        <f>+'CM'!I12</f>
        <v>0</v>
      </c>
      <c r="J12" s="99">
        <f>+'CM'!K12</f>
        <v>8271.81</v>
      </c>
      <c r="K12" s="99">
        <v>0</v>
      </c>
      <c r="L12" s="99">
        <f>+'CM'!M12</f>
        <v>19383.44</v>
      </c>
      <c r="M12" s="101">
        <f t="shared" si="2"/>
        <v>147927.01999999996</v>
      </c>
    </row>
    <row r="13" spans="1:13" ht="16.5">
      <c r="A13" s="155" t="s">
        <v>19</v>
      </c>
      <c r="B13" s="99">
        <f>+SSP!P13+SSP!Q13</f>
        <v>25073042</v>
      </c>
      <c r="C13" s="99">
        <f t="shared" si="0"/>
        <v>23172357.98</v>
      </c>
      <c r="D13" s="99">
        <v>925204</v>
      </c>
      <c r="E13" s="100">
        <f t="shared" si="1"/>
        <v>0.9610944687126516</v>
      </c>
      <c r="F13" s="99">
        <f>+SSP!C13</f>
        <v>13222387.47</v>
      </c>
      <c r="G13" s="99">
        <f>+SSP!E13</f>
        <v>3480854.6300000004</v>
      </c>
      <c r="H13" s="99">
        <f>+SSP!G13+925204</f>
        <v>4857757.359999999</v>
      </c>
      <c r="I13" s="99">
        <f>+SSP!I13</f>
        <v>124840.63999999998</v>
      </c>
      <c r="J13" s="99">
        <f>+SSP!K13</f>
        <v>206810.7</v>
      </c>
      <c r="K13" s="99">
        <f>+SSP!M13</f>
        <v>1128426.32</v>
      </c>
      <c r="L13" s="99">
        <f>+SSP!O13</f>
        <v>1076484.86</v>
      </c>
      <c r="M13" s="101">
        <f t="shared" si="2"/>
        <v>975480.0199999996</v>
      </c>
    </row>
    <row r="14" spans="1:13" ht="16.5">
      <c r="A14" s="155" t="s">
        <v>126</v>
      </c>
      <c r="B14" s="99">
        <f>+CULTURA!P16+CULTURA!Q16</f>
        <v>3196535.9999999995</v>
      </c>
      <c r="C14" s="99">
        <f t="shared" si="0"/>
        <v>2984162.0399999996</v>
      </c>
      <c r="D14" s="99">
        <v>88000</v>
      </c>
      <c r="E14" s="100">
        <f t="shared" si="1"/>
        <v>0.9610910185275561</v>
      </c>
      <c r="F14" s="99">
        <f>+CULTURA!C16</f>
        <v>1286892.1199999999</v>
      </c>
      <c r="G14" s="99">
        <f>+CULTURA!E16</f>
        <v>29852.269999999997</v>
      </c>
      <c r="H14" s="99">
        <f>+CULTURA!G16+88000</f>
        <v>1266460.72</v>
      </c>
      <c r="I14" s="99">
        <f>+CULTURA!I16</f>
        <v>327959.48000000004</v>
      </c>
      <c r="J14" s="99">
        <f>+CULTURA!K16</f>
        <v>2940.44</v>
      </c>
      <c r="K14" s="99">
        <f>+CULTURA!M16</f>
        <v>34051.92</v>
      </c>
      <c r="L14" s="99">
        <f>+CULTURA!O16</f>
        <v>124005.09</v>
      </c>
      <c r="M14" s="101">
        <f t="shared" si="2"/>
        <v>124373.95999999996</v>
      </c>
    </row>
    <row r="15" spans="1:13" ht="16.5">
      <c r="A15" s="155" t="s">
        <v>127</v>
      </c>
      <c r="B15" s="99">
        <f>+DEPORTES!P12+DEPORTES!Q12</f>
        <v>4890083</v>
      </c>
      <c r="C15" s="99">
        <f t="shared" si="0"/>
        <v>3715809.7899999996</v>
      </c>
      <c r="D15" s="99">
        <v>88000</v>
      </c>
      <c r="E15" s="100">
        <f t="shared" si="1"/>
        <v>0.7778620097041297</v>
      </c>
      <c r="F15" s="99">
        <f>+DEPORTES!C12</f>
        <v>1153330.7300000002</v>
      </c>
      <c r="G15" s="99">
        <f>+DEPORTES!E12</f>
        <v>42719.13</v>
      </c>
      <c r="H15" s="99">
        <f>+DEPORTES!G12+88000</f>
        <v>1270575.41</v>
      </c>
      <c r="I15" s="99">
        <f>+DEPORTES!I12</f>
        <v>1061288.45</v>
      </c>
      <c r="J15" s="99">
        <f>+DEPORTES!K12</f>
        <v>95951.82</v>
      </c>
      <c r="K15" s="99">
        <f>+DEPORTES!M12</f>
        <v>13887.48</v>
      </c>
      <c r="L15" s="99">
        <f>+DEPORTES!O12</f>
        <v>166056.77</v>
      </c>
      <c r="M15" s="101">
        <f t="shared" si="2"/>
        <v>1086273.2100000004</v>
      </c>
    </row>
    <row r="16" spans="1:13" ht="17.25">
      <c r="A16" s="16" t="s">
        <v>11</v>
      </c>
      <c r="B16" s="11">
        <f>SUM(B5:B15)</f>
        <v>112068700</v>
      </c>
      <c r="C16" s="11">
        <f>SUM(C5:C15)</f>
        <v>97010630.59000002</v>
      </c>
      <c r="D16" s="11">
        <f>SUM(D5:D15)</f>
        <v>2996972.58</v>
      </c>
      <c r="E16" s="12">
        <f>(C16+D16)/B16</f>
        <v>0.8923776502270484</v>
      </c>
      <c r="F16" s="11">
        <f aca="true" t="shared" si="3" ref="F16:M16">SUM(F5:F15)</f>
        <v>41993850.76</v>
      </c>
      <c r="G16" s="11">
        <f t="shared" si="3"/>
        <v>5038068.79</v>
      </c>
      <c r="H16" s="11">
        <f t="shared" si="3"/>
        <v>17958693.599999998</v>
      </c>
      <c r="I16" s="11">
        <f t="shared" si="3"/>
        <v>10804340.080000002</v>
      </c>
      <c r="J16" s="11">
        <f t="shared" si="3"/>
        <v>2143514.79</v>
      </c>
      <c r="K16" s="11">
        <f t="shared" si="3"/>
        <v>17932835.85</v>
      </c>
      <c r="L16" s="11">
        <f t="shared" si="3"/>
        <v>4136299.3000000003</v>
      </c>
      <c r="M16" s="19">
        <f t="shared" si="3"/>
        <v>12061096.829999998</v>
      </c>
    </row>
    <row r="17" spans="1:13" ht="18" thickBot="1">
      <c r="A17" s="15" t="s">
        <v>50</v>
      </c>
      <c r="B17" s="6"/>
      <c r="C17" s="7"/>
      <c r="D17" s="8"/>
      <c r="E17" s="8"/>
      <c r="F17" s="13">
        <f>+F16/53000000</f>
        <v>0.7923368067924528</v>
      </c>
      <c r="G17" s="14">
        <f>+G16/5358488</f>
        <v>0.9402034286537546</v>
      </c>
      <c r="H17" s="14">
        <f>+H16/18257225</f>
        <v>0.983648588435537</v>
      </c>
      <c r="I17" s="14">
        <f>+I16/10880908</f>
        <v>0.9929630946240885</v>
      </c>
      <c r="J17" s="14">
        <f>+J16/2235720</f>
        <v>0.9587581584456014</v>
      </c>
      <c r="K17" s="14">
        <f>+K16/18001959</f>
        <v>0.9961602428935652</v>
      </c>
      <c r="L17" s="14">
        <f>+L16/4334400</f>
        <v>0.954295704134367</v>
      </c>
      <c r="M17" s="9"/>
    </row>
    <row r="18" spans="2:13" ht="17.25" thickTop="1">
      <c r="B18" s="5"/>
      <c r="C18" s="50"/>
      <c r="D18" s="50"/>
      <c r="E18" s="5"/>
      <c r="M18" s="5"/>
    </row>
    <row r="19" spans="9:12" ht="16.5">
      <c r="I19" s="5"/>
      <c r="J19" s="5"/>
      <c r="K19" s="5"/>
      <c r="L19" s="126" t="s">
        <v>51</v>
      </c>
    </row>
    <row r="20" ht="16.5">
      <c r="L20" s="126"/>
    </row>
    <row r="21" ht="16.5">
      <c r="L21" s="127" t="s">
        <v>52</v>
      </c>
    </row>
    <row r="22" ht="16.5">
      <c r="L22" s="126"/>
    </row>
    <row r="23" ht="16.5">
      <c r="L23" s="149" t="s">
        <v>53</v>
      </c>
    </row>
    <row r="24" ht="16.5">
      <c r="L24" s="126"/>
    </row>
    <row r="25" ht="16.5">
      <c r="L25" s="128" t="s">
        <v>54</v>
      </c>
    </row>
    <row r="26" ht="16.5">
      <c r="L26" s="126"/>
    </row>
    <row r="27" ht="16.5">
      <c r="L27" s="133" t="s">
        <v>55</v>
      </c>
    </row>
    <row r="28" ht="16.5">
      <c r="L28" s="126"/>
    </row>
    <row r="29" ht="16.5">
      <c r="L29" s="129" t="s">
        <v>56</v>
      </c>
    </row>
    <row r="30" ht="16.5">
      <c r="L30" s="126"/>
    </row>
    <row r="31" ht="16.5">
      <c r="L31" s="130" t="s">
        <v>57</v>
      </c>
    </row>
    <row r="32" ht="16.5">
      <c r="L32" s="126"/>
    </row>
    <row r="33" ht="16.5">
      <c r="L33" s="131" t="s">
        <v>58</v>
      </c>
    </row>
    <row r="34" ht="16.5">
      <c r="L34" s="126"/>
    </row>
    <row r="35" ht="16.5">
      <c r="L35" s="132" t="s">
        <v>59</v>
      </c>
    </row>
    <row r="60" spans="6:14" ht="16.5">
      <c r="F60" s="1" t="s">
        <v>59</v>
      </c>
      <c r="G60" s="1" t="s">
        <v>58</v>
      </c>
      <c r="H60" s="1" t="s">
        <v>57</v>
      </c>
      <c r="I60" s="1" t="s">
        <v>60</v>
      </c>
      <c r="J60" s="1" t="s">
        <v>61</v>
      </c>
      <c r="K60" s="1" t="s">
        <v>62</v>
      </c>
      <c r="L60" s="1" t="s">
        <v>53</v>
      </c>
      <c r="M60" s="1" t="s">
        <v>63</v>
      </c>
      <c r="N60" s="1" t="s">
        <v>64</v>
      </c>
    </row>
    <row r="61" spans="1:14" ht="16.5">
      <c r="A61" s="1" t="s">
        <v>65</v>
      </c>
      <c r="F61" s="10">
        <f>+F5/B5</f>
        <v>0.2160156789542336</v>
      </c>
      <c r="G61" s="10">
        <f aca="true" t="shared" si="4" ref="G61:M61">+G5/$B$5</f>
        <v>0.004234187446221529</v>
      </c>
      <c r="H61" s="10">
        <f t="shared" si="4"/>
        <v>0.16407321207527584</v>
      </c>
      <c r="I61" s="10">
        <f t="shared" si="4"/>
        <v>0.2658924790229306</v>
      </c>
      <c r="J61" s="10">
        <f t="shared" si="4"/>
        <v>0.18995547685254208</v>
      </c>
      <c r="K61" s="10">
        <f t="shared" si="4"/>
        <v>0.012727108531944985</v>
      </c>
      <c r="L61" s="10">
        <f t="shared" si="4"/>
        <v>0.03247807232611185</v>
      </c>
      <c r="M61" s="10">
        <f t="shared" si="4"/>
        <v>0.11462378479073947</v>
      </c>
      <c r="N61" s="10">
        <f>SUM(F61:M61)</f>
        <v>1.0000000000000002</v>
      </c>
    </row>
    <row r="62" spans="1:14" ht="16.5">
      <c r="A62" s="1" t="s">
        <v>95</v>
      </c>
      <c r="F62" s="10">
        <f>+F6/B6</f>
        <v>0.4003866080005972</v>
      </c>
      <c r="G62" s="10">
        <f>+G6/B6</f>
        <v>0.011079021175411617</v>
      </c>
      <c r="H62" s="10">
        <f>+H6/B6</f>
        <v>0.2093666317055856</v>
      </c>
      <c r="I62" s="10">
        <f>+I6/B6</f>
        <v>0.0851800935369577</v>
      </c>
      <c r="J62" s="10">
        <f>+J6/B6</f>
        <v>0.01665202607977147</v>
      </c>
      <c r="K62" s="10">
        <f>+K6/B6</f>
        <v>0.019005754654835148</v>
      </c>
      <c r="L62" s="10">
        <f>+L6/B6</f>
        <v>0.03406896363562775</v>
      </c>
      <c r="M62" s="10">
        <f>+M6/B6</f>
        <v>0.22426090121121345</v>
      </c>
      <c r="N62" s="10">
        <f>SUM(F62:M62)</f>
        <v>0.9999999999999998</v>
      </c>
    </row>
    <row r="63" spans="1:14" ht="16.5">
      <c r="A63" s="1" t="s">
        <v>96</v>
      </c>
      <c r="F63" s="10">
        <f>+F7/B7</f>
        <v>0.47530360273390304</v>
      </c>
      <c r="G63" s="10">
        <f>+G7/B7</f>
        <v>0.07680167341742984</v>
      </c>
      <c r="H63" s="10">
        <f>+H7/B7</f>
        <v>0.1947449323873752</v>
      </c>
      <c r="I63" s="10">
        <f>+I7/B7</f>
        <v>0.0001013834666176321</v>
      </c>
      <c r="J63" s="10">
        <f>+J7/B7</f>
        <v>0.022696277233611593</v>
      </c>
      <c r="K63" s="10">
        <f>+K7/B7</f>
        <v>0.00026355359720049053</v>
      </c>
      <c r="L63" s="10">
        <f>+L7/B7</f>
        <v>0.050188032449065646</v>
      </c>
      <c r="M63" s="10">
        <f>+M7/B7</f>
        <v>0.17990054471479666</v>
      </c>
      <c r="N63" s="10">
        <f>SUM(F63:M63)</f>
        <v>1</v>
      </c>
    </row>
    <row r="64" spans="1:14" ht="16.5">
      <c r="A64" s="1" t="s">
        <v>66</v>
      </c>
      <c r="F64" s="10">
        <f aca="true" t="shared" si="5" ref="F64:M64">+F8/$B$8</f>
        <v>0.3629825897102615</v>
      </c>
      <c r="G64" s="10">
        <f t="shared" si="5"/>
        <v>0.005613659593016175</v>
      </c>
      <c r="H64" s="10">
        <f t="shared" si="5"/>
        <v>0.1354398747173568</v>
      </c>
      <c r="I64" s="10">
        <f t="shared" si="5"/>
        <v>0.37259892841235775</v>
      </c>
      <c r="J64" s="10">
        <f t="shared" si="5"/>
        <v>0.0031686800110747705</v>
      </c>
      <c r="K64" s="10">
        <f t="shared" si="5"/>
        <v>0.0010635497551428677</v>
      </c>
      <c r="L64" s="10">
        <f t="shared" si="5"/>
        <v>0.03684664046160181</v>
      </c>
      <c r="M64" s="10">
        <f t="shared" si="5"/>
        <v>0.08228607733918848</v>
      </c>
      <c r="N64" s="10">
        <f aca="true" t="shared" si="6" ref="N64:N71">SUM(F64:M64)</f>
        <v>1.0000000000000002</v>
      </c>
    </row>
    <row r="65" spans="1:14" ht="16.5">
      <c r="A65" s="1" t="s">
        <v>67</v>
      </c>
      <c r="F65" s="10">
        <f>+F9/$B$9</f>
        <v>0.1257956848305748</v>
      </c>
      <c r="G65" s="10">
        <f aca="true" t="shared" si="7" ref="G65:M65">+G9/$B$9</f>
        <v>0.017127945726735063</v>
      </c>
      <c r="H65" s="10">
        <f t="shared" si="7"/>
        <v>0.061054348732736734</v>
      </c>
      <c r="I65" s="10">
        <f t="shared" si="7"/>
        <v>0.0014253263761730057</v>
      </c>
      <c r="J65" s="10">
        <f t="shared" si="7"/>
        <v>0.008390960722760868</v>
      </c>
      <c r="K65" s="10">
        <f t="shared" si="7"/>
        <v>0.7267843567164357</v>
      </c>
      <c r="L65" s="10">
        <f t="shared" si="7"/>
        <v>0.01919952848070959</v>
      </c>
      <c r="M65" s="10">
        <f t="shared" si="7"/>
        <v>0.04022184841387426</v>
      </c>
      <c r="N65" s="10">
        <f t="shared" si="6"/>
        <v>1</v>
      </c>
    </row>
    <row r="66" spans="1:14" ht="16.5">
      <c r="A66" s="1" t="s">
        <v>70</v>
      </c>
      <c r="F66" s="10">
        <f>+F10/$B$10</f>
        <v>0.5487006528511276</v>
      </c>
      <c r="G66" s="10">
        <f aca="true" t="shared" si="8" ref="G66:M66">+G10/$B$10</f>
        <v>0.022064902259642243</v>
      </c>
      <c r="H66" s="10">
        <f t="shared" si="8"/>
        <v>0.1693629348231589</v>
      </c>
      <c r="I66" s="10">
        <f t="shared" si="8"/>
        <v>0</v>
      </c>
      <c r="J66" s="10">
        <f t="shared" si="8"/>
        <v>0.0049749655496049506</v>
      </c>
      <c r="K66" s="10">
        <f t="shared" si="8"/>
        <v>0.0013297107500699935</v>
      </c>
      <c r="L66" s="10">
        <f t="shared" si="8"/>
        <v>0.05261201398194346</v>
      </c>
      <c r="M66" s="10">
        <f t="shared" si="8"/>
        <v>0.20095481978445284</v>
      </c>
      <c r="N66" s="10">
        <f t="shared" si="6"/>
        <v>1</v>
      </c>
    </row>
    <row r="67" spans="1:14" ht="16.5">
      <c r="A67" s="1" t="s">
        <v>68</v>
      </c>
      <c r="F67" s="10">
        <f>+F11/$B$11</f>
        <v>0.47081855454417715</v>
      </c>
      <c r="G67" s="10">
        <f aca="true" t="shared" si="9" ref="G67:M67">+G11/$B$11</f>
        <v>0.011801121016721573</v>
      </c>
      <c r="H67" s="10">
        <f t="shared" si="9"/>
        <v>0.041072947274742776</v>
      </c>
      <c r="I67" s="10">
        <f t="shared" si="9"/>
        <v>0.10534480163624725</v>
      </c>
      <c r="J67" s="10">
        <f t="shared" si="9"/>
        <v>0.003795550281815485</v>
      </c>
      <c r="K67" s="10">
        <f t="shared" si="9"/>
        <v>0</v>
      </c>
      <c r="L67" s="10">
        <f t="shared" si="9"/>
        <v>0.03422557729238552</v>
      </c>
      <c r="M67" s="10">
        <f t="shared" si="9"/>
        <v>0.33294144795391023</v>
      </c>
      <c r="N67" s="10">
        <f t="shared" si="6"/>
        <v>1</v>
      </c>
    </row>
    <row r="68" spans="1:14" ht="16.5">
      <c r="A68" s="1" t="s">
        <v>99</v>
      </c>
      <c r="F68" s="10">
        <f>+F12/$B$12</f>
        <v>0.5285601616099032</v>
      </c>
      <c r="G68" s="10">
        <f aca="true" t="shared" si="10" ref="G68:M68">+G12/$B$12</f>
        <v>0.00021771728163193303</v>
      </c>
      <c r="H68" s="10">
        <f t="shared" si="10"/>
        <v>0.09348205661079594</v>
      </c>
      <c r="I68" s="10">
        <f t="shared" si="10"/>
        <v>0</v>
      </c>
      <c r="J68" s="10">
        <f t="shared" si="10"/>
        <v>0.017795612523476678</v>
      </c>
      <c r="K68" s="10">
        <f t="shared" si="10"/>
        <v>0</v>
      </c>
      <c r="L68" s="10">
        <f t="shared" si="10"/>
        <v>0.041700690370313</v>
      </c>
      <c r="M68" s="10">
        <f t="shared" si="10"/>
        <v>0.31824376160387924</v>
      </c>
      <c r="N68" s="10">
        <f t="shared" si="6"/>
        <v>0.9999999999999999</v>
      </c>
    </row>
    <row r="69" spans="1:14" ht="16.5">
      <c r="A69" s="1" t="s">
        <v>71</v>
      </c>
      <c r="F69" s="10">
        <f>+F13/$B$13</f>
        <v>0.5273547370119669</v>
      </c>
      <c r="G69" s="10">
        <f aca="true" t="shared" si="11" ref="G69:M69">+G13/$B$13</f>
        <v>0.13882857253619246</v>
      </c>
      <c r="H69" s="10">
        <f t="shared" si="11"/>
        <v>0.19374423574131927</v>
      </c>
      <c r="I69" s="10">
        <f t="shared" si="11"/>
        <v>0.0049790783264352205</v>
      </c>
      <c r="J69" s="10">
        <f t="shared" si="11"/>
        <v>0.00824832902206282</v>
      </c>
      <c r="K69" s="10">
        <f t="shared" si="11"/>
        <v>0.045005560952675785</v>
      </c>
      <c r="L69" s="10">
        <f t="shared" si="11"/>
        <v>0.042933955121999164</v>
      </c>
      <c r="M69" s="10">
        <f t="shared" si="11"/>
        <v>0.03890553128734836</v>
      </c>
      <c r="N69" s="10">
        <f t="shared" si="6"/>
        <v>1</v>
      </c>
    </row>
    <row r="70" spans="1:14" ht="16.5">
      <c r="A70" s="1" t="s">
        <v>72</v>
      </c>
      <c r="F70" s="10">
        <f>+F14/$B$14</f>
        <v>0.4025895907319674</v>
      </c>
      <c r="G70" s="10">
        <f aca="true" t="shared" si="12" ref="G70:M70">+G14/$B$14</f>
        <v>0.009338943781643629</v>
      </c>
      <c r="H70" s="10">
        <f t="shared" si="12"/>
        <v>0.39619785918256517</v>
      </c>
      <c r="I70" s="10">
        <f t="shared" si="12"/>
        <v>0.10259840026829045</v>
      </c>
      <c r="J70" s="10">
        <f t="shared" si="12"/>
        <v>0.0009198832736437195</v>
      </c>
      <c r="K70" s="10">
        <f t="shared" si="12"/>
        <v>0.010652756609029276</v>
      </c>
      <c r="L70" s="10">
        <f t="shared" si="12"/>
        <v>0.038793584680416555</v>
      </c>
      <c r="M70" s="10">
        <f t="shared" si="12"/>
        <v>0.03890898147244391</v>
      </c>
      <c r="N70" s="10">
        <f t="shared" si="6"/>
        <v>1.0000000000000002</v>
      </c>
    </row>
    <row r="71" spans="1:14" ht="16.5">
      <c r="A71" s="1" t="s">
        <v>69</v>
      </c>
      <c r="F71" s="10">
        <f>+F15/$B$15</f>
        <v>0.23585095181411037</v>
      </c>
      <c r="G71" s="10">
        <f aca="true" t="shared" si="13" ref="G71:M71">+G15/$B$15</f>
        <v>0.008735870127357756</v>
      </c>
      <c r="H71" s="10">
        <f t="shared" si="13"/>
        <v>0.25982696203724964</v>
      </c>
      <c r="I71" s="10">
        <f t="shared" si="13"/>
        <v>0.21702871914443986</v>
      </c>
      <c r="J71" s="10">
        <f t="shared" si="13"/>
        <v>0.019621716032222767</v>
      </c>
      <c r="K71" s="10">
        <f t="shared" si="13"/>
        <v>0.002839927256858421</v>
      </c>
      <c r="L71" s="10">
        <f t="shared" si="13"/>
        <v>0.033957863291890954</v>
      </c>
      <c r="M71" s="10">
        <f t="shared" si="13"/>
        <v>0.2221379902958703</v>
      </c>
      <c r="N71" s="10">
        <f t="shared" si="6"/>
        <v>1</v>
      </c>
    </row>
  </sheetData>
  <mergeCells count="1">
    <mergeCell ref="F3:L3"/>
  </mergeCells>
  <printOptions/>
  <pageMargins left="0.84" right="0.46" top="0.68" bottom="0.22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6"/>
  <sheetViews>
    <sheetView workbookViewId="0" topLeftCell="G2">
      <selection activeCell="D17" sqref="D17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7.421875" style="1" customWidth="1"/>
    <col min="5" max="5" width="9.421875" style="1" customWidth="1"/>
    <col min="6" max="6" width="9.28125" style="1" customWidth="1"/>
    <col min="7" max="7" width="12.28125" style="1" customWidth="1"/>
    <col min="8" max="8" width="7.4218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7.8515625" style="1" customWidth="1"/>
    <col min="13" max="13" width="10.421875" style="1" customWidth="1"/>
    <col min="14" max="14" width="8.28125" style="1" customWidth="1"/>
    <col min="15" max="15" width="10.7109375" style="1" customWidth="1"/>
    <col min="16" max="16" width="11.8515625" style="1" customWidth="1"/>
    <col min="17" max="17" width="12.00390625" style="1" customWidth="1"/>
    <col min="18" max="19" width="13.8515625" style="1" bestFit="1" customWidth="1"/>
    <col min="20" max="16384" width="11.421875" style="1" customWidth="1"/>
  </cols>
  <sheetData>
    <row r="2" spans="1:15" ht="18">
      <c r="A2" s="144" t="s">
        <v>0</v>
      </c>
      <c r="B2" s="164" t="s">
        <v>106</v>
      </c>
      <c r="C2" s="164"/>
      <c r="D2" s="169"/>
      <c r="E2" s="169"/>
      <c r="I2" s="21" t="s">
        <v>23</v>
      </c>
      <c r="J2" s="21"/>
      <c r="K2" s="148">
        <v>40787</v>
      </c>
      <c r="L2" s="120"/>
      <c r="M2" s="120"/>
      <c r="O2" s="20"/>
    </row>
    <row r="3" spans="2:4" ht="6.75" customHeight="1">
      <c r="B3" s="170"/>
      <c r="C3" s="170"/>
      <c r="D3" s="65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32</v>
      </c>
      <c r="K5" s="172"/>
      <c r="L5" s="171" t="s">
        <v>36</v>
      </c>
      <c r="M5" s="172"/>
      <c r="N5" s="171" t="s">
        <v>33</v>
      </c>
      <c r="O5" s="172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9" ht="17.25">
      <c r="A7" s="31" t="s">
        <v>14</v>
      </c>
      <c r="B7" s="66">
        <v>1180470</v>
      </c>
      <c r="C7" s="33">
        <f>6799.72+432548.85+100.5+49219.68+1270.76+97678.5+900.16+189895.07</f>
        <v>778413.24</v>
      </c>
      <c r="D7" s="66">
        <f>1700+60000</f>
        <v>61700</v>
      </c>
      <c r="E7" s="33">
        <f>2373.5+17614.44</f>
        <v>19987.94</v>
      </c>
      <c r="F7" s="66">
        <f>227129+200000</f>
        <v>427129</v>
      </c>
      <c r="G7" s="33">
        <f>13871.71+634304.05+3009.36</f>
        <v>651185.12</v>
      </c>
      <c r="H7" s="66">
        <f>498847+100000</f>
        <v>598847</v>
      </c>
      <c r="I7" s="33">
        <f>29083.8+639191.39+300+1000</f>
        <v>669575.1900000001</v>
      </c>
      <c r="J7" s="66">
        <f>1400+20000</f>
        <v>21400</v>
      </c>
      <c r="K7" s="33">
        <f>210.47+40620.32</f>
        <v>40830.79</v>
      </c>
      <c r="L7" s="66">
        <v>70000</v>
      </c>
      <c r="M7" s="33">
        <f>1366.5+35736.85</f>
        <v>37103.35</v>
      </c>
      <c r="N7" s="66">
        <v>200000</v>
      </c>
      <c r="O7" s="33">
        <v>181691.45</v>
      </c>
      <c r="P7" s="34">
        <f>+O7+K7+I7+G7+E7+C7+M7</f>
        <v>2378787.08</v>
      </c>
      <c r="Q7" s="34">
        <f>+B7+D7+F7+H7+J7+N7-P7+L7</f>
        <v>180758.91999999993</v>
      </c>
      <c r="R7" s="5"/>
      <c r="S7" s="5"/>
    </row>
    <row r="8" spans="1:17" ht="17.25">
      <c r="A8" s="31" t="s">
        <v>135</v>
      </c>
      <c r="B8" s="66">
        <v>0</v>
      </c>
      <c r="C8" s="33">
        <v>0</v>
      </c>
      <c r="D8" s="66">
        <v>10000</v>
      </c>
      <c r="E8" s="33">
        <v>0</v>
      </c>
      <c r="F8" s="66">
        <v>62217</v>
      </c>
      <c r="G8" s="33">
        <v>0</v>
      </c>
      <c r="H8" s="66">
        <v>0</v>
      </c>
      <c r="I8" s="33">
        <v>0</v>
      </c>
      <c r="J8" s="66">
        <v>1000</v>
      </c>
      <c r="K8" s="33">
        <v>0</v>
      </c>
      <c r="L8" s="66">
        <v>0</v>
      </c>
      <c r="M8" s="33">
        <v>0</v>
      </c>
      <c r="N8" s="66">
        <v>0</v>
      </c>
      <c r="O8" s="37">
        <v>0</v>
      </c>
      <c r="P8" s="34">
        <f>+O8+K8+I8+G8+E8+C8+M8</f>
        <v>0</v>
      </c>
      <c r="Q8" s="34">
        <f>+B8+D8+F8+H8+J8+N8-P8</f>
        <v>73217</v>
      </c>
    </row>
    <row r="9" spans="1:17" ht="17.25">
      <c r="A9" s="31" t="s">
        <v>82</v>
      </c>
      <c r="B9" s="66">
        <v>186349</v>
      </c>
      <c r="C9" s="33">
        <f>171.04+130509.39</f>
        <v>130680.43</v>
      </c>
      <c r="D9" s="66">
        <v>0</v>
      </c>
      <c r="E9" s="33">
        <v>960</v>
      </c>
      <c r="F9" s="66">
        <v>0</v>
      </c>
      <c r="G9" s="33">
        <v>30929.9</v>
      </c>
      <c r="H9" s="66">
        <v>0</v>
      </c>
      <c r="I9" s="33">
        <v>0</v>
      </c>
      <c r="J9" s="66">
        <v>0</v>
      </c>
      <c r="K9" s="33">
        <v>7158.67</v>
      </c>
      <c r="L9" s="66">
        <v>0</v>
      </c>
      <c r="M9" s="33">
        <v>0</v>
      </c>
      <c r="N9" s="66">
        <v>0</v>
      </c>
      <c r="O9" s="37">
        <v>5478.17</v>
      </c>
      <c r="P9" s="34">
        <f>+O9+K9+I9+G9+E9+C9</f>
        <v>175207.16999999998</v>
      </c>
      <c r="Q9" s="34">
        <f>+B9+D9+F9+H9+J9+N9-P9</f>
        <v>11141.830000000016</v>
      </c>
    </row>
    <row r="10" spans="1:17" ht="17.25">
      <c r="A10" s="31" t="s">
        <v>83</v>
      </c>
      <c r="B10" s="66">
        <v>355484</v>
      </c>
      <c r="C10" s="33">
        <f>467.01+246470.83</f>
        <v>246937.84</v>
      </c>
      <c r="D10" s="66">
        <v>0</v>
      </c>
      <c r="E10" s="33">
        <v>1584.48</v>
      </c>
      <c r="F10" s="66">
        <v>244893</v>
      </c>
      <c r="G10" s="33">
        <v>184528.5</v>
      </c>
      <c r="H10" s="66">
        <v>0</v>
      </c>
      <c r="I10" s="33">
        <v>0</v>
      </c>
      <c r="J10" s="66">
        <v>0</v>
      </c>
      <c r="K10" s="33">
        <v>2001.89</v>
      </c>
      <c r="L10" s="66">
        <v>0</v>
      </c>
      <c r="M10" s="33">
        <v>0</v>
      </c>
      <c r="N10" s="66">
        <v>0</v>
      </c>
      <c r="O10" s="37">
        <v>8396.4</v>
      </c>
      <c r="P10" s="34">
        <f aca="true" t="shared" si="0" ref="P10:P15">+O10+K10+I10+G10+E10+C10+M10</f>
        <v>443449.11</v>
      </c>
      <c r="Q10" s="34">
        <f aca="true" t="shared" si="1" ref="Q10:Q16">+B10+D10+F10+H10+J10+N10-P10</f>
        <v>156927.89</v>
      </c>
    </row>
    <row r="11" spans="1:17" ht="17.25">
      <c r="A11" s="31" t="s">
        <v>73</v>
      </c>
      <c r="B11" s="66">
        <v>840190</v>
      </c>
      <c r="C11" s="33">
        <f>1410+291791.75+2783.45+170472.97+11.8+65439.14+3+13783.01</f>
        <v>545695.12</v>
      </c>
      <c r="D11" s="66">
        <v>2080</v>
      </c>
      <c r="E11" s="33">
        <f>3210+6518.31</f>
        <v>9728.310000000001</v>
      </c>
      <c r="F11" s="66">
        <v>12267</v>
      </c>
      <c r="G11" s="33">
        <f>2402.8+35584.38+1990+13980</f>
        <v>53957.18</v>
      </c>
      <c r="H11" s="66">
        <v>0</v>
      </c>
      <c r="I11" s="33">
        <v>0</v>
      </c>
      <c r="J11" s="66">
        <v>0</v>
      </c>
      <c r="K11" s="33">
        <v>248</v>
      </c>
      <c r="L11" s="66">
        <v>0</v>
      </c>
      <c r="M11" s="33">
        <v>0</v>
      </c>
      <c r="N11" s="66">
        <v>0</v>
      </c>
      <c r="O11" s="37">
        <v>18387.04</v>
      </c>
      <c r="P11" s="34">
        <f>+O11+K11+I11+G11+E11+C11+M11</f>
        <v>628015.65</v>
      </c>
      <c r="Q11" s="34">
        <f t="shared" si="1"/>
        <v>226521.34999999998</v>
      </c>
    </row>
    <row r="12" spans="1:17" ht="17.25">
      <c r="A12" s="31" t="s">
        <v>107</v>
      </c>
      <c r="B12" s="66">
        <v>774394</v>
      </c>
      <c r="C12" s="33">
        <f>2278.88+637900.26</f>
        <v>640179.14</v>
      </c>
      <c r="D12" s="66">
        <v>11000</v>
      </c>
      <c r="E12" s="33">
        <v>27923.66</v>
      </c>
      <c r="F12" s="66">
        <v>102650</v>
      </c>
      <c r="G12" s="33">
        <f>6000+75336.5</f>
        <v>81336.5</v>
      </c>
      <c r="H12" s="66">
        <v>0</v>
      </c>
      <c r="I12" s="33">
        <v>0</v>
      </c>
      <c r="J12" s="66">
        <v>8000</v>
      </c>
      <c r="K12" s="33">
        <v>11034.72</v>
      </c>
      <c r="L12" s="66">
        <v>0</v>
      </c>
      <c r="M12" s="33">
        <v>0</v>
      </c>
      <c r="N12" s="66">
        <v>0</v>
      </c>
      <c r="O12" s="37">
        <v>23198.73</v>
      </c>
      <c r="P12" s="34">
        <f t="shared" si="0"/>
        <v>783672.75</v>
      </c>
      <c r="Q12" s="34">
        <f t="shared" si="1"/>
        <v>112371.25</v>
      </c>
    </row>
    <row r="13" spans="1:17" ht="17.25">
      <c r="A13" s="31" t="s">
        <v>141</v>
      </c>
      <c r="B13" s="66">
        <v>233995</v>
      </c>
      <c r="C13" s="33">
        <f>698.39+221672.19</f>
        <v>222370.58000000002</v>
      </c>
      <c r="D13" s="66">
        <v>10800</v>
      </c>
      <c r="E13" s="33">
        <f>27.93+1033.47</f>
        <v>1061.4</v>
      </c>
      <c r="F13" s="66">
        <v>89500</v>
      </c>
      <c r="G13" s="33">
        <v>27163.44</v>
      </c>
      <c r="H13" s="66">
        <v>0</v>
      </c>
      <c r="I13" s="33">
        <v>10525</v>
      </c>
      <c r="J13" s="66">
        <f>390000-315000</f>
        <v>75000</v>
      </c>
      <c r="K13" s="33">
        <f>966.45+72669.42</f>
        <v>73635.87</v>
      </c>
      <c r="L13" s="66">
        <v>0</v>
      </c>
      <c r="M13" s="33">
        <f>1179.53+86488.18</f>
        <v>87667.70999999999</v>
      </c>
      <c r="N13" s="66">
        <v>0</v>
      </c>
      <c r="O13" s="37">
        <v>3951.85</v>
      </c>
      <c r="P13" s="34">
        <f>+O13+K13+I13+G13+E13+C13+M13</f>
        <v>426375.85</v>
      </c>
      <c r="Q13" s="34">
        <f t="shared" si="1"/>
        <v>-17080.849999999977</v>
      </c>
    </row>
    <row r="14" spans="1:17" ht="17.25">
      <c r="A14" s="31" t="s">
        <v>77</v>
      </c>
      <c r="B14" s="66">
        <v>762365</v>
      </c>
      <c r="C14" s="33">
        <f>2638.38+644988.55</f>
        <v>647626.93</v>
      </c>
      <c r="D14" s="66">
        <v>38595</v>
      </c>
      <c r="E14" s="33">
        <f>1103.35+31565.32</f>
        <v>32668.67</v>
      </c>
      <c r="F14" s="66">
        <v>338795</v>
      </c>
      <c r="G14" s="33">
        <f>254.48+17209.6</f>
        <v>17464.079999999998</v>
      </c>
      <c r="H14" s="66">
        <v>24000</v>
      </c>
      <c r="I14" s="33">
        <f>522.4+54481.35</f>
        <v>55003.75</v>
      </c>
      <c r="J14" s="66">
        <v>26088</v>
      </c>
      <c r="K14" s="33">
        <v>5461.67</v>
      </c>
      <c r="L14" s="66">
        <v>75000</v>
      </c>
      <c r="M14" s="33">
        <v>27489.2</v>
      </c>
      <c r="N14" s="66">
        <v>0</v>
      </c>
      <c r="O14" s="37">
        <v>18767.5</v>
      </c>
      <c r="P14" s="34">
        <f t="shared" si="0"/>
        <v>804481.8</v>
      </c>
      <c r="Q14" s="34">
        <f>+B14+D14+F14+H14+J14+N14-P14+L14</f>
        <v>460361.19999999995</v>
      </c>
    </row>
    <row r="15" spans="1:17" ht="17.25">
      <c r="A15" s="31" t="s">
        <v>76</v>
      </c>
      <c r="B15" s="66">
        <v>451951</v>
      </c>
      <c r="C15" s="33">
        <f>834.77+319528.79</f>
        <v>320363.56</v>
      </c>
      <c r="D15" s="66">
        <v>0</v>
      </c>
      <c r="E15" s="33">
        <v>4354.94</v>
      </c>
      <c r="F15" s="66">
        <v>1319636</v>
      </c>
      <c r="G15" s="33">
        <f>20337.41+701479.24</f>
        <v>721816.65</v>
      </c>
      <c r="H15" s="66">
        <v>135000</v>
      </c>
      <c r="I15" s="33">
        <v>20431.82</v>
      </c>
      <c r="J15" s="66">
        <v>25593</v>
      </c>
      <c r="K15" s="33">
        <v>7131</v>
      </c>
      <c r="L15" s="66">
        <v>0</v>
      </c>
      <c r="M15" s="33">
        <v>16318.18</v>
      </c>
      <c r="N15" s="66">
        <v>0</v>
      </c>
      <c r="O15" s="37">
        <v>39997.16</v>
      </c>
      <c r="P15" s="34">
        <f t="shared" si="0"/>
        <v>1130413.3099999998</v>
      </c>
      <c r="Q15" s="34">
        <f t="shared" si="1"/>
        <v>801766.6900000002</v>
      </c>
    </row>
    <row r="16" spans="1:18" ht="17.25">
      <c r="A16" s="31" t="s">
        <v>108</v>
      </c>
      <c r="B16" s="32">
        <v>89461</v>
      </c>
      <c r="C16" s="33">
        <v>19107.52</v>
      </c>
      <c r="D16" s="32">
        <v>0</v>
      </c>
      <c r="E16" s="33">
        <v>0</v>
      </c>
      <c r="F16" s="32">
        <v>4014</v>
      </c>
      <c r="G16" s="33">
        <v>671.97</v>
      </c>
      <c r="H16" s="32">
        <v>0</v>
      </c>
      <c r="I16" s="33">
        <v>0</v>
      </c>
      <c r="J16" s="32">
        <v>0</v>
      </c>
      <c r="K16" s="33">
        <f>99.29*2</f>
        <v>198.58</v>
      </c>
      <c r="L16" s="66">
        <v>0</v>
      </c>
      <c r="M16" s="37">
        <v>0</v>
      </c>
      <c r="N16" s="32">
        <v>0</v>
      </c>
      <c r="O16" s="37">
        <v>2318.74</v>
      </c>
      <c r="P16" s="34">
        <f>+O16+K16+I16+G16+E16+C16</f>
        <v>22296.81</v>
      </c>
      <c r="Q16" s="34">
        <f t="shared" si="1"/>
        <v>71178.19</v>
      </c>
      <c r="R16" s="156"/>
    </row>
    <row r="17" spans="1:18" ht="18" thickBot="1">
      <c r="A17" s="38" t="s">
        <v>11</v>
      </c>
      <c r="B17" s="39">
        <f>SUM(B7:B16)</f>
        <v>4874659</v>
      </c>
      <c r="C17" s="40">
        <f>SUM(C7:C16)</f>
        <v>3551374.3600000003</v>
      </c>
      <c r="D17" s="39">
        <f>SUM(D7:D16)</f>
        <v>134175</v>
      </c>
      <c r="E17" s="40">
        <f>SUM(E7:E16)</f>
        <v>98269.4</v>
      </c>
      <c r="F17" s="39">
        <f aca="true" t="shared" si="2" ref="D17:P17">SUM(F7:F16)</f>
        <v>2601101</v>
      </c>
      <c r="G17" s="40">
        <f t="shared" si="2"/>
        <v>1769053.34</v>
      </c>
      <c r="H17" s="39">
        <f t="shared" si="2"/>
        <v>757847</v>
      </c>
      <c r="I17" s="40">
        <f t="shared" si="2"/>
        <v>755535.76</v>
      </c>
      <c r="J17" s="39">
        <f t="shared" si="2"/>
        <v>157081</v>
      </c>
      <c r="K17" s="40">
        <f t="shared" si="2"/>
        <v>147701.19</v>
      </c>
      <c r="L17" s="39">
        <f t="shared" si="2"/>
        <v>145000</v>
      </c>
      <c r="M17" s="40">
        <f t="shared" si="2"/>
        <v>168578.44</v>
      </c>
      <c r="N17" s="39">
        <f t="shared" si="2"/>
        <v>200000</v>
      </c>
      <c r="O17" s="40">
        <f t="shared" si="2"/>
        <v>302187.04000000004</v>
      </c>
      <c r="P17" s="42">
        <f t="shared" si="2"/>
        <v>6792699.529999998</v>
      </c>
      <c r="Q17" s="42">
        <f>SUM(Q7:Q16)</f>
        <v>2077163.47</v>
      </c>
      <c r="R17" s="5"/>
    </row>
    <row r="18" spans="1:17" ht="17.25" thickBot="1">
      <c r="A18" s="43" t="s">
        <v>30</v>
      </c>
      <c r="B18" s="44"/>
      <c r="C18" s="137">
        <f>+C17/B17</f>
        <v>0.7285380085048001</v>
      </c>
      <c r="D18" s="46"/>
      <c r="E18" s="137">
        <f>+E17/D17</f>
        <v>0.7323972424073039</v>
      </c>
      <c r="F18" s="137"/>
      <c r="G18" s="137">
        <f>+G17/F17</f>
        <v>0.6801171273241601</v>
      </c>
      <c r="H18" s="137"/>
      <c r="I18" s="137">
        <f>+I17/H17</f>
        <v>0.996950255130653</v>
      </c>
      <c r="J18" s="137"/>
      <c r="K18" s="137">
        <f>+K17/J17</f>
        <v>0.940286794711009</v>
      </c>
      <c r="L18" s="145"/>
      <c r="M18" s="145">
        <f>+M17/L17</f>
        <v>1.1626099310344828</v>
      </c>
      <c r="N18" s="137"/>
      <c r="O18" s="139">
        <f>+O17/N17</f>
        <v>1.5109352000000003</v>
      </c>
      <c r="P18" s="56"/>
      <c r="Q18" s="56"/>
    </row>
    <row r="19" spans="1:17" ht="8.25" customHeight="1">
      <c r="A19" s="49"/>
      <c r="B19" s="4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ht="16.5">
      <c r="P20" s="50"/>
    </row>
    <row r="22" ht="17.25">
      <c r="P22" s="67"/>
    </row>
    <row r="23" ht="16.5">
      <c r="P23" s="68"/>
    </row>
    <row r="24" ht="16.5">
      <c r="P24" s="56"/>
    </row>
    <row r="25" ht="16.5">
      <c r="P25" s="56"/>
    </row>
    <row r="26" ht="16.5">
      <c r="P26" s="56"/>
    </row>
    <row r="40" spans="1:6" ht="16.5">
      <c r="A40" s="51"/>
      <c r="B40" s="51"/>
      <c r="C40" s="51"/>
      <c r="D40" s="51"/>
      <c r="E40" s="51"/>
      <c r="F40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spans="3:6" ht="16.5">
      <c r="C47" s="50"/>
      <c r="D47" s="5"/>
      <c r="E47" s="51"/>
      <c r="F47" s="51"/>
    </row>
    <row r="48" spans="3:6" ht="16.5">
      <c r="C48" s="50"/>
      <c r="D48" s="5"/>
      <c r="E48" s="51"/>
      <c r="F48" s="51"/>
    </row>
    <row r="49" ht="16.5">
      <c r="C49" s="48"/>
    </row>
    <row r="51" spans="1:4" ht="16.5">
      <c r="A51" s="60" t="s">
        <v>26</v>
      </c>
      <c r="B51" s="69" t="s">
        <v>27</v>
      </c>
      <c r="C51" s="60" t="s">
        <v>28</v>
      </c>
      <c r="D51" s="60"/>
    </row>
    <row r="52" spans="1:3" ht="17.25">
      <c r="A52" s="62">
        <f>+B17</f>
        <v>4874659</v>
      </c>
      <c r="B52" s="63">
        <f>+C17</f>
        <v>3551374.3600000003</v>
      </c>
      <c r="C52" s="60" t="s">
        <v>1</v>
      </c>
    </row>
    <row r="53" spans="1:3" ht="17.25">
      <c r="A53" s="62">
        <f>+D17</f>
        <v>134175</v>
      </c>
      <c r="B53" s="63">
        <f>+E17</f>
        <v>98269.4</v>
      </c>
      <c r="C53" s="60" t="s">
        <v>2</v>
      </c>
    </row>
    <row r="54" spans="1:3" ht="17.25">
      <c r="A54" s="62">
        <f>+F17</f>
        <v>2601101</v>
      </c>
      <c r="B54" s="63">
        <f>+G17</f>
        <v>1769053.34</v>
      </c>
      <c r="C54" s="60" t="s">
        <v>3</v>
      </c>
    </row>
    <row r="55" spans="1:3" ht="17.25">
      <c r="A55" s="62">
        <f>+H17</f>
        <v>757847</v>
      </c>
      <c r="B55" s="63">
        <f>+I17</f>
        <v>755535.76</v>
      </c>
      <c r="C55" s="60" t="s">
        <v>34</v>
      </c>
    </row>
    <row r="56" spans="1:3" ht="17.25">
      <c r="A56" s="62">
        <f>+J17</f>
        <v>157081</v>
      </c>
      <c r="B56" s="63">
        <f>+K17</f>
        <v>147701.19</v>
      </c>
      <c r="C56" s="60" t="s">
        <v>32</v>
      </c>
    </row>
    <row r="57" spans="1:3" ht="17.25">
      <c r="A57" s="62">
        <v>0</v>
      </c>
      <c r="B57" s="63">
        <f>+M17</f>
        <v>168578.44</v>
      </c>
      <c r="C57" s="60" t="s">
        <v>104</v>
      </c>
    </row>
    <row r="58" spans="1:3" ht="17.25">
      <c r="A58" s="62">
        <f>+N17</f>
        <v>200000</v>
      </c>
      <c r="B58" s="63">
        <f>+O17</f>
        <v>302187.04000000004</v>
      </c>
      <c r="C58" s="60" t="s">
        <v>35</v>
      </c>
    </row>
    <row r="59" spans="1:3" ht="17.25">
      <c r="A59" s="62"/>
      <c r="B59" s="62"/>
      <c r="C59" s="60"/>
    </row>
    <row r="60" spans="1:3" ht="17.25">
      <c r="A60" s="62">
        <v>866913</v>
      </c>
      <c r="B60" s="63">
        <v>406071.92</v>
      </c>
      <c r="C60" s="60"/>
    </row>
    <row r="61" spans="1:3" ht="17.25">
      <c r="A61" s="62"/>
      <c r="B61" s="62"/>
      <c r="C61" s="60"/>
    </row>
    <row r="62" spans="1:2" ht="17.25">
      <c r="A62" s="62"/>
      <c r="B62" s="62"/>
    </row>
    <row r="63" spans="1:2" ht="17.25">
      <c r="A63" s="62"/>
      <c r="B63" s="62"/>
    </row>
    <row r="64" spans="1:2" ht="17.25">
      <c r="A64" s="62"/>
      <c r="B64" s="62"/>
    </row>
    <row r="65" spans="1:2" ht="17.25">
      <c r="A65" s="62"/>
      <c r="B65" s="62"/>
    </row>
    <row r="66" spans="1:2" ht="17.25">
      <c r="A66" s="62"/>
      <c r="B66" s="62"/>
    </row>
    <row r="67" spans="1:2" ht="17.25">
      <c r="A67" s="62"/>
      <c r="B67" s="62"/>
    </row>
    <row r="68" spans="1:2" ht="17.25">
      <c r="A68" s="62"/>
      <c r="B68" s="62"/>
    </row>
    <row r="69" spans="1:2" ht="17.25">
      <c r="A69" s="62"/>
      <c r="B69" s="62"/>
    </row>
    <row r="70" spans="1:2" ht="17.25">
      <c r="A70" s="62"/>
      <c r="B70" s="62"/>
    </row>
    <row r="71" spans="1:2" ht="17.25">
      <c r="A71" s="62"/>
      <c r="B71" s="62"/>
    </row>
    <row r="72" spans="1:2" ht="17.25">
      <c r="A72" s="62"/>
      <c r="B72" s="62"/>
    </row>
    <row r="73" spans="1:2" ht="17.25">
      <c r="A73" s="62"/>
      <c r="B73" s="62"/>
    </row>
    <row r="74" spans="1:2" ht="17.25">
      <c r="A74" s="62"/>
      <c r="B74" s="62"/>
    </row>
    <row r="75" spans="1:2" ht="17.25">
      <c r="A75" s="62"/>
      <c r="B75" s="62"/>
    </row>
    <row r="76" spans="1:2" ht="17.25">
      <c r="A76" s="62"/>
      <c r="B76" s="62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6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E1">
      <selection activeCell="E12" sqref="E12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140625" style="1" customWidth="1"/>
    <col min="4" max="4" width="7.8515625" style="1" customWidth="1"/>
    <col min="5" max="5" width="10.421875" style="1" customWidth="1"/>
    <col min="6" max="6" width="9.28125" style="1" customWidth="1"/>
    <col min="7" max="7" width="12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4" width="9.28125" style="1" customWidth="1"/>
    <col min="15" max="16" width="11.8515625" style="1" customWidth="1"/>
    <col min="17" max="17" width="12.140625" style="1" customWidth="1"/>
    <col min="18" max="18" width="11.28125" style="1" customWidth="1"/>
    <col min="19" max="16384" width="11.421875" style="1" customWidth="1"/>
  </cols>
  <sheetData>
    <row r="1" spans="14:15" ht="16.5">
      <c r="N1" s="70"/>
      <c r="O1" s="70"/>
    </row>
    <row r="2" spans="1:15" ht="18">
      <c r="A2" s="144" t="s">
        <v>0</v>
      </c>
      <c r="B2" s="164" t="s">
        <v>134</v>
      </c>
      <c r="C2" s="176"/>
      <c r="D2" s="176"/>
      <c r="E2" s="176"/>
      <c r="F2" s="176"/>
      <c r="G2" s="177"/>
      <c r="L2" s="173" t="s">
        <v>23</v>
      </c>
      <c r="M2" s="174"/>
      <c r="N2" s="148">
        <v>40787</v>
      </c>
      <c r="O2" s="71"/>
    </row>
    <row r="3" spans="2:5" ht="16.5" customHeight="1">
      <c r="B3" s="175"/>
      <c r="C3" s="175"/>
      <c r="D3" s="175"/>
      <c r="E3" s="175"/>
    </row>
    <row r="4" spans="15:16" ht="18" thickBot="1">
      <c r="O4" s="72"/>
      <c r="P4" s="63"/>
    </row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73" t="s">
        <v>136</v>
      </c>
      <c r="I5" s="73"/>
      <c r="J5" s="171" t="s">
        <v>32</v>
      </c>
      <c r="K5" s="172"/>
      <c r="L5" s="171" t="s">
        <v>36</v>
      </c>
      <c r="M5" s="172"/>
      <c r="N5" s="171" t="s">
        <v>33</v>
      </c>
      <c r="O5" s="172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v>630220</v>
      </c>
      <c r="C7" s="33">
        <f>1698.7+115962.76+459.25+62021.28+1204.38+181934.67+3+47695.97</f>
        <v>410980.01</v>
      </c>
      <c r="D7" s="66">
        <v>1000</v>
      </c>
      <c r="E7" s="33">
        <v>3504</v>
      </c>
      <c r="F7" s="66">
        <v>864868</v>
      </c>
      <c r="G7" s="33">
        <f>118+10993.34</f>
        <v>11111.34</v>
      </c>
      <c r="H7" s="66">
        <v>0</v>
      </c>
      <c r="I7" s="33">
        <v>0</v>
      </c>
      <c r="J7" s="66">
        <f>2888+100000</f>
        <v>102888</v>
      </c>
      <c r="K7" s="33">
        <f>75.96+7198.83</f>
        <v>7274.79</v>
      </c>
      <c r="L7" s="66">
        <v>0</v>
      </c>
      <c r="M7" s="33">
        <v>0</v>
      </c>
      <c r="N7" s="66">
        <v>300000</v>
      </c>
      <c r="O7" s="33">
        <v>190072.2</v>
      </c>
      <c r="P7" s="34">
        <f>+C7+E7+G7+K7+O7+I7</f>
        <v>622942.3400000001</v>
      </c>
      <c r="Q7" s="34">
        <f aca="true" t="shared" si="0" ref="Q7:Q13">+B7+D7+F7+J7+N7+H7-P7</f>
        <v>1276033.66</v>
      </c>
      <c r="R7" s="156"/>
    </row>
    <row r="8" spans="1:18" ht="17.25">
      <c r="A8" s="31" t="s">
        <v>6</v>
      </c>
      <c r="B8" s="32">
        <v>491458</v>
      </c>
      <c r="C8" s="33">
        <f>2025.19+253644.93+187.53+81675.34</f>
        <v>337532.99</v>
      </c>
      <c r="D8" s="66">
        <v>5184</v>
      </c>
      <c r="E8" s="33">
        <f>3760.74+25</f>
        <v>3785.74</v>
      </c>
      <c r="F8" s="66">
        <v>98042</v>
      </c>
      <c r="G8" s="33">
        <f>945566.66+2130.31</f>
        <v>947696.9700000001</v>
      </c>
      <c r="H8" s="66">
        <v>0</v>
      </c>
      <c r="I8" s="33">
        <v>0</v>
      </c>
      <c r="J8" s="66">
        <v>3860</v>
      </c>
      <c r="K8" s="33">
        <v>1032</v>
      </c>
      <c r="L8" s="66">
        <v>0</v>
      </c>
      <c r="M8" s="33">
        <v>0</v>
      </c>
      <c r="N8" s="66">
        <v>0</v>
      </c>
      <c r="O8" s="33">
        <v>12295.71</v>
      </c>
      <c r="P8" s="34">
        <f>+C8+E8+G8+K8+O8+I8</f>
        <v>1302343.4100000001</v>
      </c>
      <c r="Q8" s="34">
        <f t="shared" si="0"/>
        <v>-703799.4100000001</v>
      </c>
      <c r="R8" s="5"/>
    </row>
    <row r="9" spans="1:17" ht="17.25">
      <c r="A9" s="31" t="s">
        <v>103</v>
      </c>
      <c r="B9" s="32">
        <v>1202609</v>
      </c>
      <c r="C9" s="33">
        <f>1778+569538.72+505.58+148513.45+435.53+41509.75+755.94+120849.45</f>
        <v>883886.4199999999</v>
      </c>
      <c r="D9" s="66">
        <v>10000</v>
      </c>
      <c r="E9" s="33">
        <f>2389.45+20479.45</f>
        <v>22868.9</v>
      </c>
      <c r="F9" s="66">
        <v>23051</v>
      </c>
      <c r="G9" s="33">
        <v>27055.62</v>
      </c>
      <c r="H9" s="66">
        <v>0</v>
      </c>
      <c r="I9" s="33">
        <v>0</v>
      </c>
      <c r="J9" s="66">
        <v>3860</v>
      </c>
      <c r="K9" s="33">
        <f>169+42300.72</f>
        <v>42469.72</v>
      </c>
      <c r="L9" s="66">
        <v>0</v>
      </c>
      <c r="M9" s="33">
        <v>0</v>
      </c>
      <c r="N9" s="66">
        <v>0</v>
      </c>
      <c r="O9" s="33">
        <v>31148.28</v>
      </c>
      <c r="P9" s="34">
        <f>+C9+E9+G9+K9+O9+I9</f>
        <v>1007428.94</v>
      </c>
      <c r="Q9" s="34">
        <f t="shared" si="0"/>
        <v>232091.06000000006</v>
      </c>
    </row>
    <row r="10" spans="1:17" ht="17.25">
      <c r="A10" s="31" t="s">
        <v>7</v>
      </c>
      <c r="B10" s="32">
        <v>418253</v>
      </c>
      <c r="C10" s="33">
        <f>1474.32+253323.81+3+26182.83</f>
        <v>280983.96</v>
      </c>
      <c r="D10" s="66">
        <v>10400</v>
      </c>
      <c r="E10" s="33">
        <f>6440.25+46746.2</f>
        <v>53186.45</v>
      </c>
      <c r="F10" s="66">
        <v>9500</v>
      </c>
      <c r="G10" s="33">
        <v>1346.3</v>
      </c>
      <c r="H10" s="66">
        <v>0</v>
      </c>
      <c r="I10" s="33">
        <v>0</v>
      </c>
      <c r="J10" s="66">
        <v>13740</v>
      </c>
      <c r="K10" s="33">
        <v>20883.65</v>
      </c>
      <c r="L10" s="66">
        <v>0</v>
      </c>
      <c r="M10" s="33">
        <v>0</v>
      </c>
      <c r="N10" s="66">
        <v>0</v>
      </c>
      <c r="O10" s="33">
        <v>11440.79</v>
      </c>
      <c r="P10" s="34">
        <f>+C10+E10+G10+K10+O10+I10+M10</f>
        <v>367841.15</v>
      </c>
      <c r="Q10" s="34">
        <f t="shared" si="0"/>
        <v>84051.84999999998</v>
      </c>
    </row>
    <row r="11" spans="1:19" ht="17.25">
      <c r="A11" s="31" t="s">
        <v>9</v>
      </c>
      <c r="B11" s="32">
        <v>808844</v>
      </c>
      <c r="C11" s="33">
        <f>3670.37+635219.73</f>
        <v>638890.1</v>
      </c>
      <c r="D11" s="66">
        <v>4100</v>
      </c>
      <c r="E11" s="33">
        <f>776.8+9519.57</f>
        <v>10296.369999999999</v>
      </c>
      <c r="F11" s="66">
        <v>199629</v>
      </c>
      <c r="G11" s="33">
        <f>1250+269414.71</f>
        <v>270664.71</v>
      </c>
      <c r="H11" s="66">
        <v>0</v>
      </c>
      <c r="I11" s="33">
        <v>0</v>
      </c>
      <c r="J11" s="66">
        <v>3860</v>
      </c>
      <c r="K11" s="33">
        <v>8216</v>
      </c>
      <c r="L11" s="66">
        <v>0</v>
      </c>
      <c r="M11" s="33">
        <v>0</v>
      </c>
      <c r="N11" s="66">
        <v>0</v>
      </c>
      <c r="O11" s="33">
        <v>32477.36</v>
      </c>
      <c r="P11" s="34">
        <f>+C11+E11+G11+K11+O11+I11</f>
        <v>960544.5399999999</v>
      </c>
      <c r="Q11" s="34">
        <f t="shared" si="0"/>
        <v>55888.46000000008</v>
      </c>
      <c r="S11" s="5"/>
    </row>
    <row r="12" spans="1:17" ht="17.25">
      <c r="A12" s="31" t="s">
        <v>8</v>
      </c>
      <c r="B12" s="32">
        <v>910276</v>
      </c>
      <c r="C12" s="33">
        <f>12255.89+540263.41+16.6+42695.25+541.53+65135.91</f>
        <v>660908.5900000001</v>
      </c>
      <c r="D12" s="66">
        <v>677834</v>
      </c>
      <c r="E12" s="33">
        <f>39148.2+408515.6</f>
        <v>447663.8</v>
      </c>
      <c r="F12" s="66">
        <v>21260</v>
      </c>
      <c r="G12" s="33">
        <f>1333.94+12895.83</f>
        <v>14229.77</v>
      </c>
      <c r="H12" s="66">
        <v>0</v>
      </c>
      <c r="I12" s="33">
        <v>714.56</v>
      </c>
      <c r="J12" s="66">
        <v>37058</v>
      </c>
      <c r="K12" s="33">
        <v>79936.12</v>
      </c>
      <c r="L12" s="66">
        <v>0</v>
      </c>
      <c r="M12" s="33">
        <v>1857.55</v>
      </c>
      <c r="N12" s="66">
        <v>0</v>
      </c>
      <c r="O12" s="33">
        <v>71531.2</v>
      </c>
      <c r="P12" s="34">
        <f>+C12+E12+G12+K12+O12+I12+M12</f>
        <v>1276841.5900000003</v>
      </c>
      <c r="Q12" s="34">
        <f t="shared" si="0"/>
        <v>369586.4099999997</v>
      </c>
    </row>
    <row r="13" spans="1:17" ht="17.25">
      <c r="A13" s="31" t="s">
        <v>10</v>
      </c>
      <c r="B13" s="32">
        <v>193868</v>
      </c>
      <c r="C13" s="33">
        <f>622.45+136179</f>
        <v>136801.45</v>
      </c>
      <c r="D13" s="66">
        <v>0</v>
      </c>
      <c r="E13" s="33">
        <v>0</v>
      </c>
      <c r="F13" s="66">
        <v>2430</v>
      </c>
      <c r="G13" s="33">
        <f>185.92+4289.57</f>
        <v>4475.49</v>
      </c>
      <c r="H13" s="66">
        <v>0</v>
      </c>
      <c r="I13" s="33">
        <v>0</v>
      </c>
      <c r="J13" s="66">
        <v>0</v>
      </c>
      <c r="K13" s="33">
        <v>153.17</v>
      </c>
      <c r="L13" s="66">
        <v>0</v>
      </c>
      <c r="M13" s="33">
        <v>0</v>
      </c>
      <c r="N13" s="66">
        <v>0</v>
      </c>
      <c r="O13" s="33">
        <v>4764.33</v>
      </c>
      <c r="P13" s="34">
        <f>+C13+E13+G13+K13+O13+I13</f>
        <v>146194.44</v>
      </c>
      <c r="Q13" s="34">
        <f t="shared" si="0"/>
        <v>50103.56</v>
      </c>
    </row>
    <row r="14" spans="1:18" ht="18" thickBot="1">
      <c r="A14" s="38" t="s">
        <v>11</v>
      </c>
      <c r="B14" s="39">
        <f aca="true" t="shared" si="1" ref="B14:Q14">SUM(B7:B13)</f>
        <v>4655528</v>
      </c>
      <c r="C14" s="40">
        <f t="shared" si="1"/>
        <v>3349983.5200000005</v>
      </c>
      <c r="D14" s="39">
        <f>SUM(D7:D13)</f>
        <v>708518</v>
      </c>
      <c r="E14" s="40">
        <f t="shared" si="1"/>
        <v>541305.26</v>
      </c>
      <c r="F14" s="75">
        <f t="shared" si="1"/>
        <v>1218780</v>
      </c>
      <c r="G14" s="40">
        <f t="shared" si="1"/>
        <v>1276580.2000000002</v>
      </c>
      <c r="H14" s="75">
        <f t="shared" si="1"/>
        <v>0</v>
      </c>
      <c r="I14" s="40">
        <f t="shared" si="1"/>
        <v>714.56</v>
      </c>
      <c r="J14" s="39">
        <f t="shared" si="1"/>
        <v>165266</v>
      </c>
      <c r="K14" s="40">
        <f t="shared" si="1"/>
        <v>159965.45</v>
      </c>
      <c r="L14" s="39">
        <f>SUM(L7:L13)</f>
        <v>0</v>
      </c>
      <c r="M14" s="40">
        <f>SUM(M7:M13)</f>
        <v>1857.55</v>
      </c>
      <c r="N14" s="39">
        <f t="shared" si="1"/>
        <v>300000</v>
      </c>
      <c r="O14" s="40">
        <f t="shared" si="1"/>
        <v>353729.87000000005</v>
      </c>
      <c r="P14" s="42">
        <f t="shared" si="1"/>
        <v>5684136.410000001</v>
      </c>
      <c r="Q14" s="42">
        <f t="shared" si="1"/>
        <v>1363955.5899999996</v>
      </c>
      <c r="R14" s="50"/>
    </row>
    <row r="15" spans="1:17" ht="17.25" thickBot="1">
      <c r="A15" s="43" t="s">
        <v>30</v>
      </c>
      <c r="B15" s="44"/>
      <c r="C15" s="137">
        <f>+C14/B14</f>
        <v>0.7195711249078516</v>
      </c>
      <c r="D15" s="137"/>
      <c r="E15" s="137">
        <f>+E14/D14</f>
        <v>0.7639964827993079</v>
      </c>
      <c r="F15" s="137"/>
      <c r="G15" s="137">
        <f>+G14/F14</f>
        <v>1.0474246377525067</v>
      </c>
      <c r="H15" s="45"/>
      <c r="I15" s="45"/>
      <c r="J15" s="45"/>
      <c r="K15" s="137">
        <f>+K14/J14</f>
        <v>0.9679271598513912</v>
      </c>
      <c r="L15" s="47"/>
      <c r="M15" s="47"/>
      <c r="N15" s="47"/>
      <c r="O15" s="139">
        <f>+O14/N14</f>
        <v>1.1790995666666668</v>
      </c>
      <c r="P15" s="56"/>
      <c r="Q15" s="5"/>
    </row>
    <row r="16" spans="1:17" ht="16.5">
      <c r="A16" s="49"/>
      <c r="B16" s="49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38"/>
      <c r="Q16" s="5"/>
    </row>
    <row r="17" ht="16.5">
      <c r="P17" s="50"/>
    </row>
    <row r="39" spans="1:6" ht="16.5">
      <c r="A39" s="51"/>
      <c r="B39" s="51"/>
      <c r="C39" s="51"/>
      <c r="D39" s="51"/>
      <c r="E39" s="51"/>
      <c r="F39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8" spans="1:4" ht="16.5">
      <c r="A48" s="60" t="s">
        <v>26</v>
      </c>
      <c r="B48" s="60" t="s">
        <v>27</v>
      </c>
      <c r="C48" s="60" t="s">
        <v>28</v>
      </c>
      <c r="D48" s="5"/>
    </row>
    <row r="49" spans="1:3" ht="16.5">
      <c r="A49" s="1">
        <f>+B14</f>
        <v>4655528</v>
      </c>
      <c r="B49" s="50">
        <f>+C14</f>
        <v>3349983.5200000005</v>
      </c>
      <c r="C49" s="60" t="s">
        <v>1</v>
      </c>
    </row>
    <row r="50" spans="1:3" ht="16.5">
      <c r="A50" s="1">
        <f>+D14</f>
        <v>708518</v>
      </c>
      <c r="B50" s="50">
        <f>+E14</f>
        <v>541305.26</v>
      </c>
      <c r="C50" s="60" t="s">
        <v>2</v>
      </c>
    </row>
    <row r="51" spans="1:3" ht="16.5">
      <c r="A51" s="1">
        <f>+F14</f>
        <v>1218780</v>
      </c>
      <c r="B51" s="50">
        <f>+G14</f>
        <v>1276580.2000000002</v>
      </c>
      <c r="C51" s="60" t="s">
        <v>3</v>
      </c>
    </row>
    <row r="52" spans="1:3" ht="16.5">
      <c r="A52" s="76">
        <f>+H14</f>
        <v>0</v>
      </c>
      <c r="B52" s="50">
        <f>+I14</f>
        <v>714.56</v>
      </c>
      <c r="C52" s="60" t="s">
        <v>34</v>
      </c>
    </row>
    <row r="53" spans="1:3" ht="16.5">
      <c r="A53" s="1">
        <f>+J14</f>
        <v>165266</v>
      </c>
      <c r="B53" s="5">
        <f>+K14</f>
        <v>159965.45</v>
      </c>
      <c r="C53" s="60" t="s">
        <v>32</v>
      </c>
    </row>
    <row r="54" spans="1:3" ht="16.5">
      <c r="A54" s="1">
        <v>0</v>
      </c>
      <c r="B54" s="5">
        <f>+M14</f>
        <v>1857.55</v>
      </c>
      <c r="C54" s="60" t="s">
        <v>104</v>
      </c>
    </row>
    <row r="55" spans="1:3" ht="17.25">
      <c r="A55" s="1">
        <f>+N14</f>
        <v>300000</v>
      </c>
      <c r="B55" s="63">
        <f>+O14</f>
        <v>353729.87000000005</v>
      </c>
      <c r="C55" s="60" t="s">
        <v>35</v>
      </c>
    </row>
    <row r="56" ht="16.5">
      <c r="C56" s="61"/>
    </row>
    <row r="57" spans="1:3" ht="17.25">
      <c r="A57" s="1">
        <v>2487582</v>
      </c>
      <c r="B57" s="63">
        <v>786542.11</v>
      </c>
      <c r="C57" s="61"/>
    </row>
    <row r="58" ht="16.5">
      <c r="C58" s="61"/>
    </row>
    <row r="59" ht="16.5">
      <c r="C59" s="61"/>
    </row>
    <row r="60" ht="16.5">
      <c r="C60" s="61"/>
    </row>
    <row r="61" ht="16.5">
      <c r="C61" s="61"/>
    </row>
    <row r="62" ht="16.5">
      <c r="C62" s="61"/>
    </row>
    <row r="63" ht="16.5">
      <c r="C63" s="61"/>
    </row>
  </sheetData>
  <mergeCells count="9">
    <mergeCell ref="L2:M2"/>
    <mergeCell ref="B3:E3"/>
    <mergeCell ref="J5:K5"/>
    <mergeCell ref="B2:G2"/>
    <mergeCell ref="N5:O5"/>
    <mergeCell ref="B5:C5"/>
    <mergeCell ref="D5:E5"/>
    <mergeCell ref="F5:G5"/>
    <mergeCell ref="L5:M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D4">
      <selection activeCell="P15" sqref="P15"/>
    </sheetView>
  </sheetViews>
  <sheetFormatPr defaultColWidth="11.421875" defaultRowHeight="15"/>
  <cols>
    <col min="1" max="1" width="17.140625" style="1" customWidth="1"/>
    <col min="2" max="2" width="9.140625" style="1" customWidth="1"/>
    <col min="3" max="3" width="12.421875" style="1" customWidth="1"/>
    <col min="4" max="4" width="7.7109375" style="1" customWidth="1"/>
    <col min="5" max="5" width="10.8515625" style="1" customWidth="1"/>
    <col min="6" max="6" width="9.140625" style="1" customWidth="1"/>
    <col min="7" max="7" width="11.8515625" style="1" customWidth="1"/>
    <col min="8" max="8" width="9.140625" style="1" customWidth="1"/>
    <col min="9" max="9" width="12.2812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9.421875" style="1" customWidth="1"/>
    <col min="14" max="14" width="7.7109375" style="1" customWidth="1"/>
    <col min="15" max="15" width="10.140625" style="1" customWidth="1"/>
    <col min="16" max="16" width="13.140625" style="1" customWidth="1"/>
    <col min="17" max="17" width="12.57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4" t="s">
        <v>109</v>
      </c>
      <c r="C2" s="164"/>
      <c r="D2" s="178"/>
      <c r="E2" s="178"/>
      <c r="F2" s="177"/>
      <c r="I2" s="173" t="s">
        <v>23</v>
      </c>
      <c r="J2" s="173"/>
      <c r="K2" s="148">
        <v>40787</v>
      </c>
      <c r="L2" s="120"/>
      <c r="M2" s="120"/>
      <c r="N2" s="121"/>
      <c r="O2" s="54"/>
    </row>
    <row r="3" spans="2:4" ht="16.5">
      <c r="B3" s="162"/>
      <c r="C3" s="162"/>
      <c r="D3" s="65"/>
    </row>
    <row r="4" ht="17.25" thickBot="1">
      <c r="H4" s="76"/>
    </row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32</v>
      </c>
      <c r="K5" s="172"/>
      <c r="L5" s="171" t="s">
        <v>36</v>
      </c>
      <c r="M5" s="172"/>
      <c r="N5" s="171" t="s">
        <v>33</v>
      </c>
      <c r="O5" s="172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v>1251588</v>
      </c>
      <c r="C7" s="33">
        <f>12979.64+775272.82+1620.15+77797.9</f>
        <v>867670.51</v>
      </c>
      <c r="D7" s="32">
        <v>100726</v>
      </c>
      <c r="E7" s="33">
        <f>1202.49+34347.08</f>
        <v>35549.57</v>
      </c>
      <c r="F7" s="32">
        <f>346006+300000</f>
        <v>646006</v>
      </c>
      <c r="G7" s="33">
        <f>42514.2+676889.83+3302.6</f>
        <v>722706.6299999999</v>
      </c>
      <c r="H7" s="32">
        <f>1602993+100000+200000+1300000+750000</f>
        <v>3952993</v>
      </c>
      <c r="I7" s="33">
        <f>200488.18+1813109.22+5600</f>
        <v>2019197.4</v>
      </c>
      <c r="J7" s="32">
        <f>400+25000+26000</f>
        <v>51400</v>
      </c>
      <c r="K7" s="33">
        <f>99.29+35265.46</f>
        <v>35364.75</v>
      </c>
      <c r="L7" s="32">
        <v>0</v>
      </c>
      <c r="M7" s="37">
        <v>11376.57</v>
      </c>
      <c r="N7" s="32">
        <v>400000</v>
      </c>
      <c r="O7" s="33">
        <v>390327.72</v>
      </c>
      <c r="P7" s="34">
        <f>+C7+E7+G7+I7+K7+O7+M7</f>
        <v>4082193.15</v>
      </c>
      <c r="Q7" s="34">
        <f aca="true" t="shared" si="0" ref="Q7:Q12">+B7+D7+F7+H7+J7+N7-P7</f>
        <v>2320519.85</v>
      </c>
      <c r="R7" s="161"/>
    </row>
    <row r="8" spans="1:18" ht="17.25">
      <c r="A8" s="31" t="s">
        <v>74</v>
      </c>
      <c r="B8" s="32">
        <v>328024</v>
      </c>
      <c r="C8" s="33">
        <f>665.46+231723.34+3+18685.89</f>
        <v>251077.69</v>
      </c>
      <c r="D8" s="32">
        <v>18800</v>
      </c>
      <c r="E8" s="33">
        <v>15333.03</v>
      </c>
      <c r="F8" s="32">
        <v>341466</v>
      </c>
      <c r="G8" s="33">
        <f>2093.2+604447.45</f>
        <v>606540.6499999999</v>
      </c>
      <c r="H8" s="32">
        <v>1016600</v>
      </c>
      <c r="I8" s="33">
        <f>295717.13+2749140.77</f>
        <v>3044857.9</v>
      </c>
      <c r="J8" s="32">
        <v>0</v>
      </c>
      <c r="K8" s="33">
        <f>3178+1526.75</f>
        <v>4704.75</v>
      </c>
      <c r="L8" s="32">
        <v>0</v>
      </c>
      <c r="M8" s="37">
        <v>3441.35</v>
      </c>
      <c r="N8" s="32">
        <v>0</v>
      </c>
      <c r="O8" s="33">
        <v>23535.97</v>
      </c>
      <c r="P8" s="34">
        <f>+C8+E8+G8+I8+K8+O8+M8</f>
        <v>3949491.34</v>
      </c>
      <c r="Q8" s="34">
        <f t="shared" si="0"/>
        <v>-2244601.34</v>
      </c>
      <c r="R8" s="5"/>
    </row>
    <row r="9" spans="1:18" ht="17.25">
      <c r="A9" s="31" t="s">
        <v>81</v>
      </c>
      <c r="B9" s="32">
        <v>3403691</v>
      </c>
      <c r="C9" s="33">
        <f>25262.07+2237106.87</f>
        <v>2262368.94</v>
      </c>
      <c r="D9" s="32">
        <v>31998</v>
      </c>
      <c r="E9" s="33">
        <v>9624.75</v>
      </c>
      <c r="F9" s="32">
        <f>626358-200000</f>
        <v>426358</v>
      </c>
      <c r="G9" s="33">
        <f>52462.45+417071.16</f>
        <v>469533.61</v>
      </c>
      <c r="H9" s="32">
        <v>889767</v>
      </c>
      <c r="I9" s="33">
        <f>18299+1044916.09</f>
        <v>1063215.0899999999</v>
      </c>
      <c r="J9" s="32">
        <v>0</v>
      </c>
      <c r="K9" s="33">
        <f>99.29+353.98</f>
        <v>453.27000000000004</v>
      </c>
      <c r="L9" s="32">
        <v>0</v>
      </c>
      <c r="M9" s="37">
        <f>816.52+3361</f>
        <v>4177.52</v>
      </c>
      <c r="N9" s="32">
        <v>0</v>
      </c>
      <c r="O9" s="33">
        <v>78525.41</v>
      </c>
      <c r="P9" s="34">
        <f>+C9+E9+G9+I9+K9+O9+M9</f>
        <v>3887898.59</v>
      </c>
      <c r="Q9" s="34">
        <f t="shared" si="0"/>
        <v>863915.4100000001</v>
      </c>
      <c r="R9" s="5"/>
    </row>
    <row r="10" spans="1:18" ht="17.25">
      <c r="A10" s="31" t="s">
        <v>128</v>
      </c>
      <c r="B10" s="32">
        <v>2732695</v>
      </c>
      <c r="C10" s="33">
        <f>39343.08+2380074.08</f>
        <v>2419417.16</v>
      </c>
      <c r="D10" s="32">
        <v>13959</v>
      </c>
      <c r="E10" s="33">
        <v>7221.33</v>
      </c>
      <c r="F10" s="32">
        <v>377643</v>
      </c>
      <c r="G10" s="33">
        <f>52372.2+259709.04</f>
        <v>312081.24</v>
      </c>
      <c r="H10" s="32">
        <v>0</v>
      </c>
      <c r="I10" s="33">
        <v>849.79</v>
      </c>
      <c r="J10" s="32">
        <v>2500</v>
      </c>
      <c r="K10" s="33">
        <v>109</v>
      </c>
      <c r="L10" s="32">
        <v>0</v>
      </c>
      <c r="M10" s="37">
        <v>0</v>
      </c>
      <c r="N10" s="32">
        <v>0</v>
      </c>
      <c r="O10" s="33">
        <v>63026.11</v>
      </c>
      <c r="P10" s="34">
        <f>+C10+E10+G10+I10+K10+O10+M10</f>
        <v>2802704.6300000004</v>
      </c>
      <c r="Q10" s="34">
        <f t="shared" si="0"/>
        <v>324092.36999999965</v>
      </c>
      <c r="R10" s="5"/>
    </row>
    <row r="11" spans="1:18" ht="17.25">
      <c r="A11" s="31" t="s">
        <v>110</v>
      </c>
      <c r="B11" s="32">
        <v>888624</v>
      </c>
      <c r="C11" s="33">
        <f>11803.15+670682.24</f>
        <v>682485.39</v>
      </c>
      <c r="D11" s="32">
        <v>36127</v>
      </c>
      <c r="E11" s="33">
        <f>20492.97+12040.64</f>
        <v>32533.61</v>
      </c>
      <c r="F11" s="32">
        <v>232240</v>
      </c>
      <c r="G11" s="33">
        <f>28918.8+191231.44</f>
        <v>220150.24</v>
      </c>
      <c r="H11" s="32">
        <v>712421</v>
      </c>
      <c r="I11" s="33">
        <v>526651.31</v>
      </c>
      <c r="J11" s="32">
        <v>4789</v>
      </c>
      <c r="K11" s="33">
        <v>15962.17</v>
      </c>
      <c r="L11" s="32">
        <v>0</v>
      </c>
      <c r="M11" s="37">
        <v>0</v>
      </c>
      <c r="N11" s="32">
        <v>0</v>
      </c>
      <c r="O11" s="33">
        <v>102681.08</v>
      </c>
      <c r="P11" s="34">
        <f>+C11+E11+G11+I11+K11+O11</f>
        <v>1580463.8</v>
      </c>
      <c r="Q11" s="34">
        <f t="shared" si="0"/>
        <v>293737.19999999995</v>
      </c>
      <c r="R11" s="5"/>
    </row>
    <row r="12" spans="1:18" ht="17.25" hidden="1">
      <c r="A12" s="31" t="s">
        <v>75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>+C12+E12+G12+I12+K12+O12+M12</f>
        <v>0</v>
      </c>
      <c r="Q12" s="34">
        <f t="shared" si="0"/>
        <v>0</v>
      </c>
      <c r="R12" s="5"/>
    </row>
    <row r="13" spans="1:18" ht="18" thickBot="1">
      <c r="A13" s="38" t="s">
        <v>11</v>
      </c>
      <c r="B13" s="39">
        <f aca="true" t="shared" si="1" ref="B13:Q13">SUM(B7:B12)</f>
        <v>8604622</v>
      </c>
      <c r="C13" s="40">
        <f t="shared" si="1"/>
        <v>6483019.6899999995</v>
      </c>
      <c r="D13" s="39">
        <f t="shared" si="1"/>
        <v>201610</v>
      </c>
      <c r="E13" s="40">
        <f t="shared" si="1"/>
        <v>100262.29</v>
      </c>
      <c r="F13" s="39">
        <f t="shared" si="1"/>
        <v>2023713</v>
      </c>
      <c r="G13" s="40">
        <f t="shared" si="1"/>
        <v>2331012.37</v>
      </c>
      <c r="H13" s="39">
        <f t="shared" si="1"/>
        <v>6571781</v>
      </c>
      <c r="I13" s="40">
        <f t="shared" si="1"/>
        <v>6654771.49</v>
      </c>
      <c r="J13" s="39">
        <f t="shared" si="1"/>
        <v>58689</v>
      </c>
      <c r="K13" s="40">
        <f>SUM(K7:K12)</f>
        <v>56593.939999999995</v>
      </c>
      <c r="L13" s="39">
        <f>SUM(L7:L12)</f>
        <v>0</v>
      </c>
      <c r="M13" s="40">
        <f>SUM(M7:M12)</f>
        <v>18995.440000000002</v>
      </c>
      <c r="N13" s="39">
        <f t="shared" si="1"/>
        <v>400000</v>
      </c>
      <c r="O13" s="40">
        <f>SUM(O7:O12)</f>
        <v>658096.2899999999</v>
      </c>
      <c r="P13" s="42">
        <f t="shared" si="1"/>
        <v>16302751.510000002</v>
      </c>
      <c r="Q13" s="42">
        <f t="shared" si="1"/>
        <v>1557663.49</v>
      </c>
      <c r="R13" s="5"/>
    </row>
    <row r="14" spans="1:17" ht="17.25" thickBot="1">
      <c r="A14" s="43" t="s">
        <v>30</v>
      </c>
      <c r="B14" s="44"/>
      <c r="C14" s="137">
        <f>+C13/B13</f>
        <v>0.7534345715593317</v>
      </c>
      <c r="D14" s="45"/>
      <c r="E14" s="137">
        <f>+E13/D13</f>
        <v>0.49730811963692273</v>
      </c>
      <c r="F14" s="45"/>
      <c r="G14" s="137">
        <f>+G13/F13</f>
        <v>1.151849283964673</v>
      </c>
      <c r="H14" s="45"/>
      <c r="I14" s="137">
        <f>+I13/H13</f>
        <v>1.0126283103469211</v>
      </c>
      <c r="J14" s="45"/>
      <c r="K14" s="137">
        <f>+K13/J13</f>
        <v>0.9643023394503228</v>
      </c>
      <c r="L14" s="47"/>
      <c r="M14" s="47"/>
      <c r="N14" s="45"/>
      <c r="O14" s="139">
        <f>+O13/N13</f>
        <v>1.6452407249999998</v>
      </c>
      <c r="P14" s="56"/>
      <c r="Q14" s="5"/>
    </row>
    <row r="15" spans="1:16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</row>
    <row r="16" ht="16.5">
      <c r="P16" s="5"/>
    </row>
    <row r="32" spans="5:8" ht="16.5">
      <c r="E32" s="57"/>
      <c r="F32" s="57"/>
      <c r="G32" s="58"/>
      <c r="H32" s="58"/>
    </row>
    <row r="33" spans="5:8" ht="16.5">
      <c r="E33" s="59"/>
      <c r="F33" s="59"/>
      <c r="G33" s="59"/>
      <c r="H33" s="59"/>
    </row>
    <row r="38" spans="1:6" ht="16.5">
      <c r="A38" s="51"/>
      <c r="B38" s="51"/>
      <c r="C38" s="51"/>
      <c r="D38" s="51"/>
      <c r="E38" s="51"/>
      <c r="F38" s="51"/>
    </row>
    <row r="39" ht="16.5">
      <c r="C39" s="48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7" spans="1:5" ht="16.5">
      <c r="A47" s="60" t="s">
        <v>26</v>
      </c>
      <c r="B47" s="60" t="s">
        <v>27</v>
      </c>
      <c r="C47" s="60" t="s">
        <v>28</v>
      </c>
      <c r="D47" s="60"/>
      <c r="E47" s="61"/>
    </row>
    <row r="48" spans="1:3" ht="17.25">
      <c r="A48" s="62">
        <f>+B13</f>
        <v>8604622</v>
      </c>
      <c r="B48" s="63">
        <f>+C13</f>
        <v>6483019.6899999995</v>
      </c>
      <c r="C48" s="60" t="s">
        <v>1</v>
      </c>
    </row>
    <row r="49" spans="1:3" ht="17.25">
      <c r="A49" s="62">
        <f>+D13</f>
        <v>201610</v>
      </c>
      <c r="B49" s="63">
        <f>+E13</f>
        <v>100262.29</v>
      </c>
      <c r="C49" s="60" t="s">
        <v>2</v>
      </c>
    </row>
    <row r="50" spans="1:3" ht="17.25">
      <c r="A50" s="62">
        <f>+F13</f>
        <v>2023713</v>
      </c>
      <c r="B50" s="63">
        <f>+G13</f>
        <v>2331012.37</v>
      </c>
      <c r="C50" s="60" t="s">
        <v>3</v>
      </c>
    </row>
    <row r="51" spans="1:3" ht="17.25">
      <c r="A51" s="62">
        <f>+H13</f>
        <v>6571781</v>
      </c>
      <c r="B51" s="63">
        <f>+I13</f>
        <v>6654771.49</v>
      </c>
      <c r="C51" s="60" t="s">
        <v>34</v>
      </c>
    </row>
    <row r="52" spans="1:3" ht="17.25">
      <c r="A52" s="62">
        <f>+J13</f>
        <v>58689</v>
      </c>
      <c r="B52" s="63">
        <f>+K13</f>
        <v>56593.939999999995</v>
      </c>
      <c r="C52" s="60" t="s">
        <v>32</v>
      </c>
    </row>
    <row r="53" spans="1:3" ht="17.25">
      <c r="A53" s="64">
        <f>+L13</f>
        <v>0</v>
      </c>
      <c r="B53" s="63">
        <f>+M13</f>
        <v>18995.440000000002</v>
      </c>
      <c r="C53" s="60" t="s">
        <v>97</v>
      </c>
    </row>
    <row r="54" spans="1:3" ht="17.25">
      <c r="A54" s="62">
        <f>+N13</f>
        <v>400000</v>
      </c>
      <c r="B54" s="63">
        <f>+O13</f>
        <v>658096.2899999999</v>
      </c>
      <c r="C54" s="60" t="s">
        <v>35</v>
      </c>
    </row>
    <row r="55" spans="1:3" ht="17.25">
      <c r="A55" s="62"/>
      <c r="B55" s="62"/>
      <c r="C55" s="60"/>
    </row>
    <row r="56" spans="1:2" ht="16.5">
      <c r="A56" s="1">
        <v>2809993</v>
      </c>
      <c r="B56" s="5">
        <v>749308.3</v>
      </c>
    </row>
  </sheetData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71" right="0.37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E1">
      <selection activeCell="G14" sqref="G14"/>
    </sheetView>
  </sheetViews>
  <sheetFormatPr defaultColWidth="11.421875" defaultRowHeight="15"/>
  <cols>
    <col min="1" max="1" width="13.421875" style="1" customWidth="1"/>
    <col min="2" max="2" width="9.28125" style="1" customWidth="1"/>
    <col min="3" max="3" width="12.421875" style="1" customWidth="1"/>
    <col min="4" max="4" width="7.8515625" style="1" customWidth="1"/>
    <col min="5" max="5" width="10.57421875" style="1" customWidth="1"/>
    <col min="6" max="6" width="9.00390625" style="1" customWidth="1"/>
    <col min="7" max="7" width="11.8515625" style="1" customWidth="1"/>
    <col min="8" max="8" width="7.57421875" style="1" customWidth="1"/>
    <col min="9" max="9" width="9.57421875" style="1" customWidth="1"/>
    <col min="10" max="10" width="7.8515625" style="1" customWidth="1"/>
    <col min="11" max="11" width="10.421875" style="1" customWidth="1"/>
    <col min="12" max="12" width="10.140625" style="1" customWidth="1"/>
    <col min="13" max="13" width="13.140625" style="1" customWidth="1"/>
    <col min="14" max="14" width="9.140625" style="1" customWidth="1"/>
    <col min="15" max="15" width="10.140625" style="1" customWidth="1"/>
    <col min="16" max="16" width="12.8515625" style="1" customWidth="1"/>
    <col min="17" max="17" width="13.28125" style="1" customWidth="1"/>
    <col min="18" max="18" width="15.00390625" style="1" bestFit="1" customWidth="1"/>
    <col min="19" max="16384" width="11.421875" style="1" customWidth="1"/>
  </cols>
  <sheetData>
    <row r="2" spans="1:15" ht="18">
      <c r="A2" s="144" t="s">
        <v>0</v>
      </c>
      <c r="B2" s="164" t="s">
        <v>111</v>
      </c>
      <c r="C2" s="180"/>
      <c r="D2" s="180"/>
      <c r="E2" s="169"/>
      <c r="F2" s="169"/>
      <c r="L2" s="173" t="s">
        <v>23</v>
      </c>
      <c r="M2" s="174"/>
      <c r="N2" s="148">
        <v>40787</v>
      </c>
      <c r="O2" s="54"/>
    </row>
    <row r="3" spans="2:4" ht="16.5">
      <c r="B3" s="162"/>
      <c r="C3" s="179"/>
      <c r="D3" s="179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80</v>
      </c>
      <c r="K5" s="172"/>
      <c r="L5" s="171" t="s">
        <v>36</v>
      </c>
      <c r="M5" s="172"/>
      <c r="N5" s="171" t="s">
        <v>33</v>
      </c>
      <c r="O5" s="172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v>563186</v>
      </c>
      <c r="C7" s="33">
        <f>1385.88+113680.04+386.98+48333.58+393.86+190210.28</f>
        <v>354390.62</v>
      </c>
      <c r="D7" s="32">
        <f>4813+80000+150000</f>
        <v>234813</v>
      </c>
      <c r="E7" s="33">
        <v>35837.5</v>
      </c>
      <c r="F7" s="32">
        <f>139744+150000</f>
        <v>289744</v>
      </c>
      <c r="G7" s="33">
        <f>31830.29+288769.51+4934.19+38103.51</f>
        <v>363637.5</v>
      </c>
      <c r="H7" s="32">
        <v>120000</v>
      </c>
      <c r="I7" s="37">
        <f>6400+24246</f>
        <v>30646</v>
      </c>
      <c r="J7" s="32">
        <f>6000+54000</f>
        <v>60000</v>
      </c>
      <c r="K7" s="33">
        <f>8.27+1993.83+11814</f>
        <v>13816.1</v>
      </c>
      <c r="L7" s="32">
        <v>2000000</v>
      </c>
      <c r="M7" s="33">
        <f>231276.84+835263.75</f>
        <v>1066540.59</v>
      </c>
      <c r="N7" s="32">
        <v>400000</v>
      </c>
      <c r="O7" s="33">
        <v>177929.9</v>
      </c>
      <c r="P7" s="34">
        <f>+O7+M7+K7+G7+E7+C7+I7</f>
        <v>2042798.21</v>
      </c>
      <c r="Q7" s="34">
        <f>+B7+D7+F7+J7+L7+N7-P7+H7</f>
        <v>1624944.79</v>
      </c>
      <c r="R7" s="5"/>
    </row>
    <row r="8" spans="1:18" ht="17.25">
      <c r="A8" s="31" t="s">
        <v>13</v>
      </c>
      <c r="B8" s="32">
        <v>1428732</v>
      </c>
      <c r="C8" s="33">
        <f>1180.73+169281+3929.5+449957.39+1983.27+364326.65+250.72+40156.24</f>
        <v>1031065.5</v>
      </c>
      <c r="D8" s="32">
        <v>6825</v>
      </c>
      <c r="E8" s="33">
        <f>3199.76+13281.05</f>
        <v>16480.809999999998</v>
      </c>
      <c r="F8" s="77">
        <v>51100</v>
      </c>
      <c r="G8" s="78">
        <f>3000+119938.9</f>
        <v>122938.9</v>
      </c>
      <c r="H8" s="79">
        <v>0</v>
      </c>
      <c r="I8" s="80">
        <v>0</v>
      </c>
      <c r="J8" s="77">
        <v>15000</v>
      </c>
      <c r="K8" s="78">
        <v>138187.82</v>
      </c>
      <c r="L8" s="81">
        <v>0</v>
      </c>
      <c r="M8" s="78">
        <v>1160</v>
      </c>
      <c r="N8" s="81">
        <v>0</v>
      </c>
      <c r="O8" s="78">
        <v>34060.32</v>
      </c>
      <c r="P8" s="34">
        <f>+O8+M8+K8+G8+E8+C8</f>
        <v>1343893.35</v>
      </c>
      <c r="Q8" s="34">
        <f>+B8+D8+F8+J8+L8+N8-P8+H8</f>
        <v>157763.6499999999</v>
      </c>
      <c r="R8" s="5"/>
    </row>
    <row r="9" spans="1:18" ht="17.25">
      <c r="A9" s="31" t="s">
        <v>12</v>
      </c>
      <c r="B9" s="32">
        <v>623101</v>
      </c>
      <c r="C9" s="33">
        <f>2353.22+315711.07+1804.86+141830.48+31.8+66360.25</f>
        <v>528091.6799999999</v>
      </c>
      <c r="D9" s="32">
        <v>38923</v>
      </c>
      <c r="E9" s="33">
        <f>3532.9+97105.27</f>
        <v>100638.17</v>
      </c>
      <c r="F9" s="32">
        <v>116939</v>
      </c>
      <c r="G9" s="33">
        <f>53589.27+104.18</f>
        <v>53693.45</v>
      </c>
      <c r="H9" s="32">
        <v>5000</v>
      </c>
      <c r="I9" s="37">
        <v>0</v>
      </c>
      <c r="J9" s="32">
        <f>3000</f>
        <v>3000</v>
      </c>
      <c r="K9" s="33">
        <v>30692.41</v>
      </c>
      <c r="L9" s="32">
        <v>2555699</v>
      </c>
      <c r="M9" s="33">
        <f>34418.3+3813405.14+15170.74+411981.38</f>
        <v>4274975.5600000005</v>
      </c>
      <c r="N9" s="32">
        <v>0</v>
      </c>
      <c r="O9" s="33">
        <v>116634.89</v>
      </c>
      <c r="P9" s="34">
        <f>+O9+M9+K9+G9+E9+C9+I9</f>
        <v>5104726.16</v>
      </c>
      <c r="Q9" s="34">
        <f>+B9+D9+F9+J9+L9+N9-P9+H9</f>
        <v>-1762064.1600000001</v>
      </c>
      <c r="R9" s="5"/>
    </row>
    <row r="10" spans="1:18" ht="17.25">
      <c r="A10" s="31" t="s">
        <v>79</v>
      </c>
      <c r="B10" s="32">
        <v>1310290</v>
      </c>
      <c r="C10" s="33">
        <f>3897.91+415266.08+1243.37+135622.42+2801.42+257781.41+1020.1+119182.4</f>
        <v>936815.1100000001</v>
      </c>
      <c r="D10" s="32">
        <f>34377</f>
        <v>34377</v>
      </c>
      <c r="E10" s="33">
        <f>7750.8+227389.19</f>
        <v>235139.99</v>
      </c>
      <c r="F10" s="32">
        <v>822607</v>
      </c>
      <c r="G10" s="33">
        <f>584008.42+78.34</f>
        <v>584086.76</v>
      </c>
      <c r="H10" s="32">
        <v>0</v>
      </c>
      <c r="I10" s="37">
        <v>1650</v>
      </c>
      <c r="J10" s="32">
        <v>39974</v>
      </c>
      <c r="K10" s="33">
        <f>12.71+7418.97</f>
        <v>7431.68</v>
      </c>
      <c r="L10" s="32">
        <f>11305360+600000</f>
        <v>11905360</v>
      </c>
      <c r="M10" s="33">
        <f>148463.27+10974039.8+2787.68</f>
        <v>11125290.75</v>
      </c>
      <c r="N10" s="32">
        <v>34000</v>
      </c>
      <c r="O10" s="33">
        <v>106410.67</v>
      </c>
      <c r="P10" s="34">
        <f>+O10+M10+K10+I10+G10+E10+C10</f>
        <v>12996824.959999999</v>
      </c>
      <c r="Q10" s="34">
        <f>+N10+L10+J10+H10+F10+D10+B10-P10</f>
        <v>1149783.040000001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2"/>
    </row>
    <row r="12" spans="1:18" ht="18" thickBot="1">
      <c r="A12" s="38" t="s">
        <v>11</v>
      </c>
      <c r="B12" s="39">
        <f aca="true" t="shared" si="0" ref="B12:Q12">SUM(B7:B11)</f>
        <v>3925309</v>
      </c>
      <c r="C12" s="40">
        <f t="shared" si="0"/>
        <v>2850362.91</v>
      </c>
      <c r="D12" s="39">
        <f t="shared" si="0"/>
        <v>314938</v>
      </c>
      <c r="E12" s="40">
        <f t="shared" si="0"/>
        <v>388096.47</v>
      </c>
      <c r="F12" s="39">
        <f t="shared" si="0"/>
        <v>1280390</v>
      </c>
      <c r="G12" s="40">
        <f t="shared" si="0"/>
        <v>1124356.6099999999</v>
      </c>
      <c r="H12" s="39">
        <f t="shared" si="0"/>
        <v>125000</v>
      </c>
      <c r="I12" s="41">
        <f t="shared" si="0"/>
        <v>32296</v>
      </c>
      <c r="J12" s="39">
        <f t="shared" si="0"/>
        <v>117974</v>
      </c>
      <c r="K12" s="40">
        <f t="shared" si="0"/>
        <v>190128.01</v>
      </c>
      <c r="L12" s="39">
        <f t="shared" si="0"/>
        <v>16461059</v>
      </c>
      <c r="M12" s="40">
        <f t="shared" si="0"/>
        <v>16467966.9</v>
      </c>
      <c r="N12" s="39">
        <f t="shared" si="0"/>
        <v>434000</v>
      </c>
      <c r="O12" s="40">
        <f t="shared" si="0"/>
        <v>435035.77999999997</v>
      </c>
      <c r="P12" s="42">
        <f t="shared" si="0"/>
        <v>21488242.68</v>
      </c>
      <c r="Q12" s="42">
        <f t="shared" si="0"/>
        <v>1170427.3200000008</v>
      </c>
      <c r="R12" s="5"/>
    </row>
    <row r="13" spans="1:17" ht="17.25" thickBot="1">
      <c r="A13" s="43" t="s">
        <v>30</v>
      </c>
      <c r="B13" s="44"/>
      <c r="C13" s="137">
        <f>+C12/B12</f>
        <v>0.726149943864292</v>
      </c>
      <c r="D13" s="45"/>
      <c r="E13" s="137">
        <f>+E12/D12</f>
        <v>1.2322948326337246</v>
      </c>
      <c r="F13" s="45"/>
      <c r="G13" s="137">
        <f>+G12/F12</f>
        <v>0.8781360444864454</v>
      </c>
      <c r="H13" s="45"/>
      <c r="I13" s="137">
        <f>+I12/H12</f>
        <v>0.258368</v>
      </c>
      <c r="J13" s="45"/>
      <c r="K13" s="137">
        <f>+K12/J12</f>
        <v>1.6116094224151085</v>
      </c>
      <c r="L13" s="45"/>
      <c r="M13" s="137">
        <f>+M12/L12</f>
        <v>1.0004196510078727</v>
      </c>
      <c r="N13" s="47"/>
      <c r="O13" s="139">
        <f>+O12/N12</f>
        <v>1.002386589861751</v>
      </c>
      <c r="P13" s="56"/>
      <c r="Q13" s="5"/>
    </row>
    <row r="14" spans="12:17" ht="16.5">
      <c r="L14" s="76"/>
      <c r="P14" s="50"/>
      <c r="Q14" s="5"/>
    </row>
    <row r="15" ht="16.5">
      <c r="P15" s="5"/>
    </row>
    <row r="37" spans="1:6" ht="16.5">
      <c r="A37" s="51"/>
      <c r="B37" s="51"/>
      <c r="C37" s="51"/>
      <c r="D37" s="51"/>
      <c r="E37" s="51"/>
      <c r="F37" s="51"/>
    </row>
    <row r="39" spans="3:6" ht="17.25">
      <c r="C39" s="63"/>
      <c r="D39" s="5"/>
      <c r="E39" s="51"/>
      <c r="F39" s="51"/>
    </row>
    <row r="40" spans="3:6" ht="17.25">
      <c r="C40" s="63"/>
      <c r="D40" s="5"/>
      <c r="E40" s="51"/>
      <c r="F40" s="51"/>
    </row>
    <row r="41" spans="3:6" ht="17.25">
      <c r="C41" s="63"/>
      <c r="D41" s="5"/>
      <c r="E41" s="51"/>
      <c r="F41" s="51"/>
    </row>
    <row r="42" spans="3:6" ht="17.25">
      <c r="C42" s="63"/>
      <c r="D42" s="5"/>
      <c r="E42" s="51"/>
      <c r="F42" s="51"/>
    </row>
    <row r="43" spans="3:6" ht="17.25">
      <c r="C43" s="63"/>
      <c r="D43" s="5"/>
      <c r="E43" s="51"/>
      <c r="F43" s="51"/>
    </row>
    <row r="44" spans="3:6" ht="17.25">
      <c r="C44" s="63"/>
      <c r="D44" s="5"/>
      <c r="E44" s="51"/>
      <c r="F44" s="51"/>
    </row>
    <row r="45" ht="17.25">
      <c r="C45" s="62"/>
    </row>
    <row r="48" spans="4:5" ht="16.5">
      <c r="D48" s="60"/>
      <c r="E48" s="60"/>
    </row>
    <row r="49" spans="1:5" ht="16.5">
      <c r="A49" s="60" t="s">
        <v>26</v>
      </c>
      <c r="B49" s="60" t="s">
        <v>27</v>
      </c>
      <c r="C49" s="60" t="s">
        <v>28</v>
      </c>
      <c r="D49" s="60"/>
      <c r="E49" s="60"/>
    </row>
    <row r="50" spans="1:3" ht="17.25">
      <c r="A50" s="62">
        <f>+B12</f>
        <v>3925309</v>
      </c>
      <c r="B50" s="63">
        <f>+C12</f>
        <v>2850362.91</v>
      </c>
      <c r="C50" s="60" t="s">
        <v>1</v>
      </c>
    </row>
    <row r="51" spans="1:3" ht="17.25">
      <c r="A51" s="62">
        <f>+D12</f>
        <v>314938</v>
      </c>
      <c r="B51" s="63">
        <f>+E12</f>
        <v>388096.47</v>
      </c>
      <c r="C51" s="60" t="s">
        <v>2</v>
      </c>
    </row>
    <row r="52" spans="1:3" ht="17.25">
      <c r="A52" s="62">
        <f>+F12</f>
        <v>1280390</v>
      </c>
      <c r="B52" s="63">
        <f>+G12</f>
        <v>1124356.6099999999</v>
      </c>
      <c r="C52" s="60" t="s">
        <v>3</v>
      </c>
    </row>
    <row r="53" spans="1:3" ht="17.25">
      <c r="A53" s="64">
        <f>+H12</f>
        <v>125000</v>
      </c>
      <c r="B53" s="63">
        <f>+I12</f>
        <v>32296</v>
      </c>
      <c r="C53" s="60" t="s">
        <v>34</v>
      </c>
    </row>
    <row r="54" spans="1:3" ht="17.25">
      <c r="A54" s="62">
        <f>+J12</f>
        <v>117974</v>
      </c>
      <c r="B54" s="63">
        <f>+K12</f>
        <v>190128.01</v>
      </c>
      <c r="C54" s="60" t="s">
        <v>32</v>
      </c>
    </row>
    <row r="55" spans="1:3" ht="17.25">
      <c r="A55" s="62">
        <f>+L12</f>
        <v>16461059</v>
      </c>
      <c r="B55" s="63">
        <f>+M12</f>
        <v>16467966.9</v>
      </c>
      <c r="C55" s="60" t="s">
        <v>29</v>
      </c>
    </row>
    <row r="56" spans="1:3" ht="17.25">
      <c r="A56" s="62">
        <f>+N12</f>
        <v>434000</v>
      </c>
      <c r="B56" s="63">
        <f>+O12</f>
        <v>435035.77999999997</v>
      </c>
      <c r="C56" s="60" t="s">
        <v>35</v>
      </c>
    </row>
    <row r="57" spans="1:2" ht="17.25">
      <c r="A57" s="62">
        <v>2832908</v>
      </c>
      <c r="B57" s="63">
        <v>692231.2</v>
      </c>
    </row>
    <row r="58" spans="1:2" ht="17.25">
      <c r="A58" s="62"/>
      <c r="B58" s="62"/>
    </row>
    <row r="59" spans="1:2" ht="17.25">
      <c r="A59" s="62"/>
      <c r="B59" s="62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71" right="0.48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D1">
      <selection activeCell="P15" sqref="P15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10.7109375" style="1" customWidth="1"/>
    <col min="6" max="6" width="9.421875" style="1" customWidth="1"/>
    <col min="7" max="7" width="11.85156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9.57421875" style="1" customWidth="1"/>
    <col min="15" max="15" width="10.28125" style="1" customWidth="1"/>
    <col min="16" max="16" width="12.8515625" style="1" customWidth="1"/>
    <col min="17" max="17" width="12.28125" style="1" customWidth="1"/>
    <col min="18" max="18" width="15.00390625" style="1" bestFit="1" customWidth="1"/>
    <col min="19" max="16384" width="11.421875" style="1" customWidth="1"/>
  </cols>
  <sheetData>
    <row r="2" spans="1:15" ht="18">
      <c r="A2" s="144" t="s">
        <v>0</v>
      </c>
      <c r="B2" s="164" t="s">
        <v>112</v>
      </c>
      <c r="C2" s="180"/>
      <c r="D2" s="180"/>
      <c r="E2" s="180"/>
      <c r="F2" s="176"/>
      <c r="G2" s="176"/>
      <c r="H2" s="176"/>
      <c r="I2" s="177"/>
      <c r="J2" s="21"/>
      <c r="K2" s="173" t="s">
        <v>23</v>
      </c>
      <c r="L2" s="174"/>
      <c r="M2" s="148">
        <v>40787</v>
      </c>
      <c r="O2" s="54"/>
    </row>
    <row r="3" spans="2:16" ht="16.5">
      <c r="B3" s="162"/>
      <c r="C3" s="179"/>
      <c r="D3" s="179"/>
      <c r="E3" s="179"/>
      <c r="F3" s="65"/>
      <c r="P3" s="83"/>
    </row>
    <row r="5" ht="17.25" thickBot="1"/>
    <row r="6" spans="1:17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32</v>
      </c>
      <c r="K6" s="172"/>
      <c r="L6" s="171" t="s">
        <v>36</v>
      </c>
      <c r="M6" s="172"/>
      <c r="N6" s="171" t="s">
        <v>33</v>
      </c>
      <c r="O6" s="172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84" t="s">
        <v>14</v>
      </c>
      <c r="B8" s="32">
        <v>717333</v>
      </c>
      <c r="C8" s="33">
        <f>8872.38+305132.26+1529.09+53987.3+14660.03+15+124531.95</f>
        <v>508728.01000000007</v>
      </c>
      <c r="D8" s="32">
        <v>35244</v>
      </c>
      <c r="E8" s="33">
        <f>242.66+18898.33</f>
        <v>19140.99</v>
      </c>
      <c r="F8" s="32">
        <f>873641+250000+500000-152000</f>
        <v>1471641</v>
      </c>
      <c r="G8" s="33">
        <f>19978.68+646432.49</f>
        <v>666411.17</v>
      </c>
      <c r="H8" s="32">
        <v>0</v>
      </c>
      <c r="I8" s="33">
        <v>0</v>
      </c>
      <c r="J8" s="32">
        <v>12001</v>
      </c>
      <c r="K8" s="33">
        <v>52476.53</v>
      </c>
      <c r="L8" s="32">
        <v>0</v>
      </c>
      <c r="M8" s="37">
        <v>5827.02</v>
      </c>
      <c r="N8" s="32">
        <f>600000+1124400</f>
        <v>1724400</v>
      </c>
      <c r="O8" s="33">
        <v>434550.31</v>
      </c>
      <c r="P8" s="34">
        <f>+O8+K8+G8+E8+C8+I8+M8</f>
        <v>1687134.03</v>
      </c>
      <c r="Q8" s="34">
        <f>+B8+D8+F8+H8+J8+N8-P8</f>
        <v>2273484.9699999997</v>
      </c>
      <c r="R8" s="5"/>
    </row>
    <row r="9" spans="1:18" ht="17.25">
      <c r="A9" s="84" t="s">
        <v>88</v>
      </c>
      <c r="B9" s="32">
        <v>2564554</v>
      </c>
      <c r="C9" s="33">
        <f>27+223578.33+5853.22+851433.8+5538.05+540862.02+7440.15+537215.44</f>
        <v>2171948.01</v>
      </c>
      <c r="D9" s="32">
        <v>63681</v>
      </c>
      <c r="E9" s="33">
        <f>5052.29+59018.08+112</f>
        <v>64182.37</v>
      </c>
      <c r="F9" s="32">
        <v>55505</v>
      </c>
      <c r="G9" s="33">
        <f>140830.46+408.68+2041.97+3062.52</f>
        <v>146343.62999999998</v>
      </c>
      <c r="H9" s="32">
        <v>4000</v>
      </c>
      <c r="I9" s="33">
        <v>0</v>
      </c>
      <c r="J9" s="32">
        <f>54400-50000</f>
        <v>4400</v>
      </c>
      <c r="K9" s="33">
        <f>120+11086.76</f>
        <v>11206.76</v>
      </c>
      <c r="L9" s="32">
        <v>0</v>
      </c>
      <c r="M9" s="37">
        <v>1427.17</v>
      </c>
      <c r="N9" s="32">
        <v>0</v>
      </c>
      <c r="O9" s="33">
        <v>74261.4</v>
      </c>
      <c r="P9" s="34">
        <f>+O9+K9+G9+E9+C9+M9</f>
        <v>2469369.34</v>
      </c>
      <c r="Q9" s="34">
        <f>+B9+D9+F9+H9+J9+N9-P9</f>
        <v>222770.66000000015</v>
      </c>
      <c r="R9" s="5"/>
    </row>
    <row r="10" spans="1:18" ht="17.25">
      <c r="A10" s="84" t="s">
        <v>87</v>
      </c>
      <c r="B10" s="32">
        <v>2809106</v>
      </c>
      <c r="C10" s="33">
        <f>6816.56+558705.23+352.62+79126.52+42075.98+1867742.74</f>
        <v>2554819.65</v>
      </c>
      <c r="D10" s="32">
        <v>101570</v>
      </c>
      <c r="E10" s="33">
        <f>10758.99+90630.01</f>
        <v>101389</v>
      </c>
      <c r="F10" s="32">
        <f>1270487-428000</f>
        <v>842487</v>
      </c>
      <c r="G10" s="33">
        <f>146864.17+1078341.94+4918.11+51238.86</f>
        <v>1281363.08</v>
      </c>
      <c r="H10" s="32">
        <v>0</v>
      </c>
      <c r="I10" s="33">
        <v>0</v>
      </c>
      <c r="J10" s="32">
        <v>0</v>
      </c>
      <c r="K10" s="33">
        <v>1117.26</v>
      </c>
      <c r="L10" s="32">
        <v>0</v>
      </c>
      <c r="M10" s="37">
        <v>3380.74</v>
      </c>
      <c r="N10" s="32">
        <v>0</v>
      </c>
      <c r="O10" s="33">
        <v>160242.1</v>
      </c>
      <c r="P10" s="34">
        <f>+O10+K10+G10+E10+C10+M10+I10</f>
        <v>4102311.83</v>
      </c>
      <c r="Q10" s="34">
        <f>+B10+D10+F10+H10+J10+N10-P10</f>
        <v>-349148.8300000001</v>
      </c>
      <c r="R10" s="5"/>
    </row>
    <row r="11" spans="1:18" ht="17.25">
      <c r="A11" s="84" t="s">
        <v>89</v>
      </c>
      <c r="B11" s="32">
        <v>3242240</v>
      </c>
      <c r="C11" s="33">
        <f>1412.77+91020.35+43411.94+2173608.32+1250.2+187285.42</f>
        <v>2497989</v>
      </c>
      <c r="D11" s="32">
        <v>222807</v>
      </c>
      <c r="E11" s="33">
        <f>2701.74+123572.56</f>
        <v>126274.3</v>
      </c>
      <c r="F11" s="32">
        <v>223209</v>
      </c>
      <c r="G11" s="33">
        <f>7100+181613.07+130.06+231.92+1900+13938.42</f>
        <v>204913.47000000003</v>
      </c>
      <c r="H11" s="32">
        <v>0</v>
      </c>
      <c r="I11" s="33">
        <v>0</v>
      </c>
      <c r="J11" s="32">
        <v>0</v>
      </c>
      <c r="K11" s="33">
        <v>5317.5</v>
      </c>
      <c r="L11" s="32">
        <v>0</v>
      </c>
      <c r="M11" s="37">
        <v>8106.25</v>
      </c>
      <c r="N11" s="32">
        <v>0</v>
      </c>
      <c r="O11" s="33">
        <v>72469.28</v>
      </c>
      <c r="P11" s="34">
        <f>+O11+K11+G11+E11+C11+M11</f>
        <v>2915069.8</v>
      </c>
      <c r="Q11" s="34">
        <f>+B11+D11+F11+H11+J11+N11+L11-P11</f>
        <v>773186.2000000002</v>
      </c>
      <c r="R11" s="161"/>
    </row>
    <row r="12" spans="1:17" ht="9" customHeight="1">
      <c r="A12" s="84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9333233</v>
      </c>
      <c r="C13" s="40">
        <f t="shared" si="0"/>
        <v>7733484.67</v>
      </c>
      <c r="D13" s="39">
        <f t="shared" si="0"/>
        <v>423302</v>
      </c>
      <c r="E13" s="40">
        <f t="shared" si="0"/>
        <v>310986.66</v>
      </c>
      <c r="F13" s="39">
        <f t="shared" si="0"/>
        <v>2592842</v>
      </c>
      <c r="G13" s="40">
        <f t="shared" si="0"/>
        <v>2299031.35</v>
      </c>
      <c r="H13" s="39">
        <f t="shared" si="0"/>
        <v>4000</v>
      </c>
      <c r="I13" s="40">
        <f t="shared" si="0"/>
        <v>0</v>
      </c>
      <c r="J13" s="39">
        <f t="shared" si="0"/>
        <v>16401</v>
      </c>
      <c r="K13" s="40">
        <f t="shared" si="0"/>
        <v>70118.05</v>
      </c>
      <c r="L13" s="39">
        <f>SUM(L8:L12)</f>
        <v>0</v>
      </c>
      <c r="M13" s="40">
        <f>SUM(M8:M12)</f>
        <v>18741.18</v>
      </c>
      <c r="N13" s="39">
        <f t="shared" si="0"/>
        <v>1724400</v>
      </c>
      <c r="O13" s="40">
        <f t="shared" si="0"/>
        <v>741523.09</v>
      </c>
      <c r="P13" s="85">
        <f t="shared" si="0"/>
        <v>11173885</v>
      </c>
      <c r="Q13" s="150">
        <f t="shared" si="0"/>
        <v>2920293</v>
      </c>
    </row>
    <row r="14" spans="1:17" ht="17.25" thickBot="1">
      <c r="A14" s="38" t="s">
        <v>30</v>
      </c>
      <c r="B14" s="86"/>
      <c r="C14" s="91">
        <f>+C13/B13</f>
        <v>0.8285965506272049</v>
      </c>
      <c r="D14" s="87"/>
      <c r="E14" s="91">
        <f>+E13/D13</f>
        <v>0.7346685345214528</v>
      </c>
      <c r="F14" s="87"/>
      <c r="G14" s="91">
        <f>+G13/F13</f>
        <v>0.8866839360053563</v>
      </c>
      <c r="H14" s="87"/>
      <c r="I14" s="91">
        <f>+I13/H13</f>
        <v>0</v>
      </c>
      <c r="J14" s="87"/>
      <c r="K14" s="91">
        <f>+K13/J13</f>
        <v>4.275230168892141</v>
      </c>
      <c r="L14" s="88"/>
      <c r="M14" s="47"/>
      <c r="N14" s="45"/>
      <c r="O14" s="139">
        <f>+O13/N13</f>
        <v>0.4300180294595221</v>
      </c>
      <c r="P14" s="56"/>
      <c r="Q14" s="5"/>
    </row>
    <row r="15" spans="1:17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  <c r="Q15" s="76"/>
    </row>
    <row r="16" ht="16.5">
      <c r="P16" s="5"/>
    </row>
    <row r="18" ht="16.5">
      <c r="Q18" s="5"/>
    </row>
    <row r="41" spans="1:6" ht="16.5">
      <c r="A41" s="51"/>
      <c r="B41" s="51"/>
      <c r="C41" s="51"/>
      <c r="D41" s="51"/>
      <c r="E41" s="51"/>
      <c r="F41" s="51"/>
    </row>
    <row r="43" spans="3:6" ht="16.5">
      <c r="C43" s="50"/>
      <c r="D43" s="5"/>
      <c r="E43" s="51"/>
      <c r="F43" s="51"/>
    </row>
    <row r="44" spans="4:6" ht="16.5">
      <c r="D44" s="5"/>
      <c r="F44" s="51"/>
    </row>
    <row r="45" spans="1:6" ht="16.5">
      <c r="A45" s="60" t="s">
        <v>26</v>
      </c>
      <c r="B45" s="69" t="s">
        <v>27</v>
      </c>
      <c r="C45" s="89" t="s">
        <v>28</v>
      </c>
      <c r="D45" s="5"/>
      <c r="F45" s="51"/>
    </row>
    <row r="46" spans="1:6" ht="17.25">
      <c r="A46" s="62">
        <f>+B13</f>
        <v>9333233</v>
      </c>
      <c r="B46" s="63">
        <f>+C13</f>
        <v>7733484.67</v>
      </c>
      <c r="C46" s="89" t="s">
        <v>1</v>
      </c>
      <c r="D46" s="5"/>
      <c r="F46" s="51"/>
    </row>
    <row r="47" spans="1:6" ht="17.25">
      <c r="A47" s="62">
        <f>+D13</f>
        <v>423302</v>
      </c>
      <c r="B47" s="63">
        <f>+E13</f>
        <v>310986.66</v>
      </c>
      <c r="C47" s="89" t="s">
        <v>2</v>
      </c>
      <c r="D47" s="5"/>
      <c r="F47" s="51"/>
    </row>
    <row r="48" spans="1:6" ht="17.25">
      <c r="A48" s="62">
        <f>+F13</f>
        <v>2592842</v>
      </c>
      <c r="B48" s="63">
        <f>+G13</f>
        <v>2299031.35</v>
      </c>
      <c r="C48" s="89" t="s">
        <v>3</v>
      </c>
      <c r="D48" s="5"/>
      <c r="F48" s="51"/>
    </row>
    <row r="49" spans="1:6" ht="17.25">
      <c r="A49" s="64">
        <f>+H13</f>
        <v>4000</v>
      </c>
      <c r="B49" s="63">
        <f>+I13</f>
        <v>0</v>
      </c>
      <c r="C49" s="90" t="s">
        <v>34</v>
      </c>
      <c r="D49" s="5"/>
      <c r="F49" s="51"/>
    </row>
    <row r="50" spans="1:3" ht="17.25">
      <c r="A50" s="62">
        <f>+J13</f>
        <v>16401</v>
      </c>
      <c r="B50" s="63">
        <f>+K13</f>
        <v>70118.05</v>
      </c>
      <c r="C50" s="60" t="s">
        <v>32</v>
      </c>
    </row>
    <row r="51" spans="1:3" ht="17.25">
      <c r="A51" s="64">
        <f>+L13</f>
        <v>0</v>
      </c>
      <c r="B51" s="63">
        <f>+M13</f>
        <v>18741.18</v>
      </c>
      <c r="C51" s="60" t="s">
        <v>102</v>
      </c>
    </row>
    <row r="52" spans="1:3" ht="17.25">
      <c r="A52" s="62">
        <f>+N13</f>
        <v>1724400</v>
      </c>
      <c r="B52" s="63">
        <f>+O13</f>
        <v>741523.09</v>
      </c>
      <c r="C52" s="60" t="s">
        <v>35</v>
      </c>
    </row>
    <row r="53" spans="2:3" ht="16.5">
      <c r="B53" s="48"/>
      <c r="C53" s="60"/>
    </row>
    <row r="54" spans="1:2" ht="16.5">
      <c r="A54" s="1">
        <v>2161994.87</v>
      </c>
      <c r="B54" s="50">
        <v>623381.8</v>
      </c>
    </row>
  </sheetData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64" right="0.43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D1">
      <selection activeCell="P14" sqref="P14"/>
    </sheetView>
  </sheetViews>
  <sheetFormatPr defaultColWidth="11.421875" defaultRowHeight="15"/>
  <cols>
    <col min="1" max="1" width="22.7109375" style="1" customWidth="1"/>
    <col min="2" max="2" width="9.281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9.57421875" style="1" customWidth="1"/>
    <col min="8" max="8" width="7.57421875" style="1" customWidth="1"/>
    <col min="9" max="9" width="10.57421875" style="1" customWidth="1"/>
    <col min="10" max="10" width="7.28125" style="1" customWidth="1"/>
    <col min="11" max="11" width="9.42187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140625" style="1" customWidth="1"/>
    <col min="16" max="16" width="12.28125" style="1" customWidth="1"/>
    <col min="17" max="17" width="11.00390625" style="1" customWidth="1"/>
    <col min="18" max="16384" width="11.421875" style="1" customWidth="1"/>
  </cols>
  <sheetData>
    <row r="2" spans="1:15" ht="18">
      <c r="A2" s="144" t="s">
        <v>0</v>
      </c>
      <c r="B2" s="164" t="s">
        <v>113</v>
      </c>
      <c r="C2" s="164"/>
      <c r="D2" s="169"/>
      <c r="E2" s="169"/>
      <c r="I2" s="173" t="s">
        <v>23</v>
      </c>
      <c r="J2" s="173"/>
      <c r="K2" s="148">
        <v>40787</v>
      </c>
      <c r="L2" s="123"/>
      <c r="M2" s="123"/>
      <c r="O2" s="23"/>
    </row>
    <row r="3" spans="2:3" ht="16.5">
      <c r="B3" s="162"/>
      <c r="C3" s="162"/>
    </row>
    <row r="5" ht="17.25" thickBot="1"/>
    <row r="6" spans="1:17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32</v>
      </c>
      <c r="K6" s="172"/>
      <c r="L6" s="125" t="s">
        <v>36</v>
      </c>
      <c r="M6" s="73"/>
      <c r="N6" s="171" t="s">
        <v>33</v>
      </c>
      <c r="O6" s="172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31" t="s">
        <v>98</v>
      </c>
      <c r="B8" s="32">
        <v>890569</v>
      </c>
      <c r="C8" s="33">
        <f>7862.21+645563.51</f>
        <v>653425.72</v>
      </c>
      <c r="D8" s="66">
        <v>69700</v>
      </c>
      <c r="E8" s="33">
        <f>68+18828.25</f>
        <v>18896.25</v>
      </c>
      <c r="F8" s="66">
        <v>240000</v>
      </c>
      <c r="G8" s="33">
        <f>736.94+65030.09</f>
        <v>65767.03</v>
      </c>
      <c r="H8" s="66">
        <v>120000</v>
      </c>
      <c r="I8" s="33">
        <f>1000+152680.73</f>
        <v>153680.73</v>
      </c>
      <c r="J8" s="66">
        <v>7000</v>
      </c>
      <c r="K8" s="33">
        <f>160.21+5818.03</f>
        <v>5978.24</v>
      </c>
      <c r="L8" s="66">
        <v>72000</v>
      </c>
      <c r="M8" s="33">
        <v>0</v>
      </c>
      <c r="N8" s="66">
        <v>60000</v>
      </c>
      <c r="O8" s="33">
        <v>52539.51</v>
      </c>
      <c r="P8" s="34">
        <f>+C8+G8+I8+K8+O8+E8</f>
        <v>950287.48</v>
      </c>
      <c r="Q8" s="34">
        <f>+B8+D8+F8+H8+J8+N8-P8+L8</f>
        <v>508981.52</v>
      </c>
      <c r="R8" s="156"/>
    </row>
    <row r="9" spans="1:17" ht="17.25">
      <c r="A9" s="31" t="s">
        <v>142</v>
      </c>
      <c r="B9" s="32">
        <v>90102</v>
      </c>
      <c r="C9" s="33">
        <f>180.52+63826.04</f>
        <v>64006.56</v>
      </c>
      <c r="D9" s="66">
        <v>0</v>
      </c>
      <c r="E9" s="33">
        <v>0</v>
      </c>
      <c r="F9" s="66">
        <v>0</v>
      </c>
      <c r="G9" s="33">
        <v>0</v>
      </c>
      <c r="H9" s="66">
        <v>0</v>
      </c>
      <c r="I9" s="33">
        <f>2500+12500</f>
        <v>15000</v>
      </c>
      <c r="J9" s="66">
        <v>0</v>
      </c>
      <c r="K9" s="33">
        <v>99.29</v>
      </c>
      <c r="L9" s="66">
        <v>0</v>
      </c>
      <c r="M9" s="33">
        <v>0</v>
      </c>
      <c r="N9" s="66">
        <v>0</v>
      </c>
      <c r="O9" s="33">
        <v>1086.44</v>
      </c>
      <c r="P9" s="34">
        <f>+C9+G9+I9+K9+O9+E9</f>
        <v>80192.29</v>
      </c>
      <c r="Q9" s="34">
        <f>+B9+D9+F9+H9+J9+N9-P9</f>
        <v>9909.710000000006</v>
      </c>
    </row>
    <row r="10" spans="1:17" ht="17.25">
      <c r="A10" s="31" t="s">
        <v>114</v>
      </c>
      <c r="B10" s="32">
        <v>51854</v>
      </c>
      <c r="C10" s="33">
        <f>352+36102.16</f>
        <v>36454.16</v>
      </c>
      <c r="D10" s="66">
        <v>0</v>
      </c>
      <c r="E10" s="33">
        <v>0</v>
      </c>
      <c r="F10" s="66">
        <v>0</v>
      </c>
      <c r="G10" s="33">
        <v>0</v>
      </c>
      <c r="H10" s="66">
        <v>0</v>
      </c>
      <c r="I10" s="33">
        <v>0</v>
      </c>
      <c r="J10" s="66">
        <v>0</v>
      </c>
      <c r="K10" s="33">
        <v>0</v>
      </c>
      <c r="L10" s="66">
        <v>0</v>
      </c>
      <c r="M10" s="33">
        <v>0</v>
      </c>
      <c r="N10" s="66">
        <v>0</v>
      </c>
      <c r="O10" s="33">
        <v>1176.9</v>
      </c>
      <c r="P10" s="34">
        <f>+C10+G10+I10+K10+O10+E10</f>
        <v>37631.060000000005</v>
      </c>
      <c r="Q10" s="34">
        <f>+B10+D10+F10+H10+J10+N10-P10</f>
        <v>14222.939999999995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 aca="true" t="shared" si="0" ref="B12:Q12">SUM(B8:B10)</f>
        <v>1032525</v>
      </c>
      <c r="C12" s="40">
        <f t="shared" si="0"/>
        <v>753886.4400000001</v>
      </c>
      <c r="D12" s="39">
        <f t="shared" si="0"/>
        <v>69700</v>
      </c>
      <c r="E12" s="40">
        <f t="shared" si="0"/>
        <v>18896.25</v>
      </c>
      <c r="F12" s="39">
        <f>SUM(F8:F11)</f>
        <v>240000</v>
      </c>
      <c r="G12" s="40">
        <f t="shared" si="0"/>
        <v>65767.03</v>
      </c>
      <c r="H12" s="39">
        <f t="shared" si="0"/>
        <v>120000</v>
      </c>
      <c r="I12" s="40">
        <f t="shared" si="0"/>
        <v>168680.73</v>
      </c>
      <c r="J12" s="39">
        <f t="shared" si="0"/>
        <v>7000</v>
      </c>
      <c r="K12" s="40">
        <f t="shared" si="0"/>
        <v>6077.53</v>
      </c>
      <c r="L12" s="39">
        <f t="shared" si="0"/>
        <v>72000</v>
      </c>
      <c r="M12" s="40">
        <f t="shared" si="0"/>
        <v>0</v>
      </c>
      <c r="N12" s="39">
        <f t="shared" si="0"/>
        <v>60000</v>
      </c>
      <c r="O12" s="40">
        <f t="shared" si="0"/>
        <v>54802.850000000006</v>
      </c>
      <c r="P12" s="42">
        <f t="shared" si="0"/>
        <v>1068110.83</v>
      </c>
      <c r="Q12" s="42">
        <f t="shared" si="0"/>
        <v>533114.17</v>
      </c>
    </row>
    <row r="13" spans="1:17" ht="17.25" thickBot="1">
      <c r="A13" s="43" t="s">
        <v>30</v>
      </c>
      <c r="B13" s="86"/>
      <c r="C13" s="91">
        <f>+C12/B12</f>
        <v>0.7301386794508609</v>
      </c>
      <c r="D13" s="91"/>
      <c r="E13" s="91">
        <f>+E12/D12</f>
        <v>0.27110832137733143</v>
      </c>
      <c r="F13" s="91"/>
      <c r="G13" s="91">
        <f>+G12/F12</f>
        <v>0.2740292916666667</v>
      </c>
      <c r="H13" s="91"/>
      <c r="I13" s="91">
        <f>+I12/H12</f>
        <v>1.4056727500000001</v>
      </c>
      <c r="J13" s="87"/>
      <c r="K13" s="91">
        <f>+K12/J12</f>
        <v>0.8682185714285714</v>
      </c>
      <c r="L13" s="88"/>
      <c r="M13" s="145">
        <f>+M12/L12</f>
        <v>0</v>
      </c>
      <c r="N13" s="45"/>
      <c r="O13" s="139">
        <f>+O12/N12</f>
        <v>0.9133808333333334</v>
      </c>
      <c r="P13" s="56"/>
      <c r="Q13" s="92"/>
    </row>
    <row r="14" spans="1:18" ht="16.5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138"/>
      <c r="Q14" s="5"/>
      <c r="R14" s="5"/>
    </row>
    <row r="41" spans="1:8" ht="16.5">
      <c r="A41" s="51"/>
      <c r="B41" s="51"/>
      <c r="C41" s="51"/>
      <c r="D41" s="51"/>
      <c r="G41" s="51"/>
      <c r="H41" s="51"/>
    </row>
    <row r="43" spans="3:8" ht="16.5">
      <c r="C43" s="50"/>
      <c r="D43" s="5"/>
      <c r="G43" s="51"/>
      <c r="H43" s="51"/>
    </row>
    <row r="44" spans="4:8" ht="16.5">
      <c r="D44" s="5"/>
      <c r="H44" s="51"/>
    </row>
    <row r="45" spans="1:8" ht="16.5">
      <c r="A45" s="60" t="s">
        <v>26</v>
      </c>
      <c r="B45" s="69" t="s">
        <v>27</v>
      </c>
      <c r="C45" s="89" t="s">
        <v>28</v>
      </c>
      <c r="D45" s="5"/>
      <c r="H45" s="51"/>
    </row>
    <row r="46" spans="1:8" ht="17.25">
      <c r="A46" s="62">
        <f>+B12</f>
        <v>1032525</v>
      </c>
      <c r="B46" s="63">
        <f>+C12</f>
        <v>753886.4400000001</v>
      </c>
      <c r="C46" s="89" t="s">
        <v>1</v>
      </c>
      <c r="D46" s="5"/>
      <c r="H46" s="51"/>
    </row>
    <row r="47" spans="1:8" ht="17.25">
      <c r="A47" s="62">
        <f>+D12</f>
        <v>69700</v>
      </c>
      <c r="B47" s="63">
        <f>+E12</f>
        <v>18896.25</v>
      </c>
      <c r="C47" s="89" t="s">
        <v>2</v>
      </c>
      <c r="D47" s="5"/>
      <c r="H47" s="51"/>
    </row>
    <row r="48" spans="1:8" ht="17.25">
      <c r="A48" s="62">
        <f>+F12</f>
        <v>240000</v>
      </c>
      <c r="B48" s="63">
        <f>+G12</f>
        <v>65767.03</v>
      </c>
      <c r="C48" s="89" t="s">
        <v>3</v>
      </c>
      <c r="D48" s="5"/>
      <c r="H48" s="51"/>
    </row>
    <row r="49" spans="1:3" ht="17.25">
      <c r="A49" s="62">
        <f>+H12</f>
        <v>120000</v>
      </c>
      <c r="B49" s="63">
        <f>+I12</f>
        <v>168680.73</v>
      </c>
      <c r="C49" s="60" t="s">
        <v>34</v>
      </c>
    </row>
    <row r="50" spans="1:3" ht="17.25">
      <c r="A50" s="62">
        <f>+J12</f>
        <v>7000</v>
      </c>
      <c r="B50" s="63">
        <f>+K12</f>
        <v>6077.53</v>
      </c>
      <c r="C50" s="60" t="s">
        <v>32</v>
      </c>
    </row>
    <row r="51" spans="1:3" ht="17.25">
      <c r="A51" s="64">
        <f>+L12</f>
        <v>72000</v>
      </c>
      <c r="B51" s="63">
        <f>+M12</f>
        <v>0</v>
      </c>
      <c r="C51" s="60" t="s">
        <v>97</v>
      </c>
    </row>
    <row r="52" spans="1:3" ht="17.25">
      <c r="A52" s="62">
        <f>+N12</f>
        <v>60000</v>
      </c>
      <c r="B52" s="63">
        <f>+O12</f>
        <v>54802.850000000006</v>
      </c>
      <c r="C52" s="60" t="s">
        <v>35</v>
      </c>
    </row>
    <row r="53" spans="1:3" ht="17.25">
      <c r="A53" s="62">
        <v>565834</v>
      </c>
      <c r="B53" s="63">
        <v>158443.27</v>
      </c>
      <c r="C53" s="93"/>
    </row>
    <row r="54" ht="16.5">
      <c r="C54" s="93"/>
    </row>
    <row r="55" ht="16.5">
      <c r="C55" s="93"/>
    </row>
  </sheetData>
  <mergeCells count="9">
    <mergeCell ref="B2:E2"/>
    <mergeCell ref="I2:J2"/>
    <mergeCell ref="B3:C3"/>
    <mergeCell ref="J6:K6"/>
    <mergeCell ref="N6:O6"/>
    <mergeCell ref="B6:C6"/>
    <mergeCell ref="D6:E6"/>
    <mergeCell ref="F6:G6"/>
    <mergeCell ref="H6:I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N14" sqref="N14"/>
    </sheetView>
  </sheetViews>
  <sheetFormatPr defaultColWidth="11.421875" defaultRowHeight="15"/>
  <cols>
    <col min="1" max="1" width="8.28125" style="1" customWidth="1"/>
    <col min="2" max="2" width="8.7109375" style="1" customWidth="1"/>
    <col min="3" max="3" width="10.574218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28125" style="1" customWidth="1"/>
    <col min="13" max="13" width="9.140625" style="1" customWidth="1"/>
    <col min="14" max="15" width="10.57421875" style="1" customWidth="1"/>
    <col min="16" max="16" width="11.8515625" style="1" bestFit="1" customWidth="1"/>
    <col min="17" max="16384" width="11.421875" style="1" customWidth="1"/>
  </cols>
  <sheetData>
    <row r="2" spans="1:12" ht="18">
      <c r="A2" s="144" t="s">
        <v>0</v>
      </c>
      <c r="B2" s="164" t="s">
        <v>115</v>
      </c>
      <c r="C2" s="180"/>
      <c r="D2" s="169"/>
      <c r="E2" s="169"/>
      <c r="I2" s="173" t="s">
        <v>23</v>
      </c>
      <c r="J2" s="173"/>
      <c r="K2" s="148">
        <v>40787</v>
      </c>
      <c r="L2" s="20"/>
    </row>
    <row r="3" spans="2:4" ht="16.5">
      <c r="B3" s="162"/>
      <c r="C3" s="179"/>
      <c r="D3" s="94"/>
    </row>
    <row r="5" ht="17.25" thickBot="1"/>
    <row r="6" spans="1:15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32</v>
      </c>
      <c r="K6" s="172"/>
      <c r="L6" s="171" t="s">
        <v>33</v>
      </c>
      <c r="M6" s="172"/>
      <c r="N6" s="26" t="s">
        <v>5</v>
      </c>
      <c r="O6" s="26" t="s">
        <v>38</v>
      </c>
    </row>
    <row r="7" spans="1:15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9" t="s">
        <v>25</v>
      </c>
      <c r="O7" s="30" t="s">
        <v>39</v>
      </c>
    </row>
    <row r="8" spans="1:15" ht="16.5">
      <c r="A8" s="95"/>
      <c r="B8" s="96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6" ht="17.25">
      <c r="A9" s="31" t="s">
        <v>90</v>
      </c>
      <c r="B9" s="55">
        <v>336693</v>
      </c>
      <c r="C9" s="33">
        <f>1400.98+244285.94</f>
        <v>245686.92</v>
      </c>
      <c r="D9" s="74">
        <v>2170</v>
      </c>
      <c r="E9" s="33">
        <v>101.2</v>
      </c>
      <c r="F9" s="74">
        <v>125960</v>
      </c>
      <c r="G9" s="33">
        <f>50.78+43401.83</f>
        <v>43452.61</v>
      </c>
      <c r="H9" s="74">
        <v>0</v>
      </c>
      <c r="I9" s="33">
        <v>0</v>
      </c>
      <c r="J9" s="74">
        <v>0</v>
      </c>
      <c r="K9" s="33">
        <v>8271.81</v>
      </c>
      <c r="L9" s="74">
        <v>0</v>
      </c>
      <c r="M9" s="33">
        <v>19383.44</v>
      </c>
      <c r="N9" s="34">
        <f>+M9+K9+I9+G9+E9+C9</f>
        <v>316895.98</v>
      </c>
      <c r="O9" s="34">
        <f>+B9+D9+F9+H9+J9+L9-N9</f>
        <v>147927.02000000002</v>
      </c>
      <c r="P9" s="5"/>
    </row>
    <row r="10" spans="1:15" ht="16.5">
      <c r="A10" s="95"/>
      <c r="B10" s="96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5"/>
      <c r="B11" s="96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336693</v>
      </c>
      <c r="C12" s="40">
        <f>SUM(C9)</f>
        <v>245686.92</v>
      </c>
      <c r="D12" s="39">
        <f>SUM(D9:D11)</f>
        <v>2170</v>
      </c>
      <c r="E12" s="40">
        <f>SUM(E9)</f>
        <v>101.2</v>
      </c>
      <c r="F12" s="39">
        <f>SUM(F9:F11)</f>
        <v>125960</v>
      </c>
      <c r="G12" s="40">
        <f>SUM(G9)</f>
        <v>43452.61</v>
      </c>
      <c r="H12" s="97">
        <f>SUM(H9:H11)</f>
        <v>0</v>
      </c>
      <c r="I12" s="40">
        <v>0</v>
      </c>
      <c r="J12" s="39">
        <f>SUM(J9:J11)</f>
        <v>0</v>
      </c>
      <c r="K12" s="40">
        <f>SUM(K9)</f>
        <v>8271.81</v>
      </c>
      <c r="L12" s="39">
        <f>SUM(L9:L11)</f>
        <v>0</v>
      </c>
      <c r="M12" s="40">
        <f>SUM(M9)</f>
        <v>19383.44</v>
      </c>
      <c r="N12" s="42">
        <f>SUM(N9)</f>
        <v>316895.98</v>
      </c>
      <c r="O12" s="42">
        <f>SUM(O9)</f>
        <v>147927.02000000002</v>
      </c>
    </row>
    <row r="13" spans="1:15" ht="17.25" thickBot="1">
      <c r="A13" s="43" t="s">
        <v>30</v>
      </c>
      <c r="B13" s="86"/>
      <c r="C13" s="91">
        <f>+C12/B12</f>
        <v>0.7297060526948883</v>
      </c>
      <c r="D13" s="87"/>
      <c r="E13" s="91">
        <f>+E12/D12</f>
        <v>0.046635944700460834</v>
      </c>
      <c r="F13" s="87"/>
      <c r="G13" s="91">
        <f>+G12/F12</f>
        <v>0.34497149888853607</v>
      </c>
      <c r="H13" s="87"/>
      <c r="I13" s="87"/>
      <c r="J13" s="87"/>
      <c r="K13" s="47"/>
      <c r="L13" s="45"/>
      <c r="M13" s="139"/>
      <c r="N13" s="56"/>
      <c r="O13" s="5"/>
    </row>
    <row r="14" spans="1:14" ht="16.5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38"/>
    </row>
    <row r="33" spans="5:10" ht="16.5">
      <c r="E33" s="59"/>
      <c r="F33" s="59"/>
      <c r="J33" s="59"/>
    </row>
    <row r="44" spans="1:8" ht="16.5">
      <c r="A44" s="51"/>
      <c r="B44" s="51"/>
      <c r="C44" s="51"/>
      <c r="D44" s="51"/>
      <c r="G44" s="51"/>
      <c r="H44" s="51"/>
    </row>
    <row r="46" spans="3:8" ht="16.5">
      <c r="C46" s="5"/>
      <c r="D46" s="5"/>
      <c r="G46" s="51"/>
      <c r="H46" s="51"/>
    </row>
    <row r="47" spans="4:8" ht="16.5">
      <c r="D47" s="5"/>
      <c r="H47" s="51"/>
    </row>
    <row r="48" spans="1:8" ht="16.5">
      <c r="A48" s="69" t="s">
        <v>26</v>
      </c>
      <c r="B48" s="69" t="s">
        <v>27</v>
      </c>
      <c r="C48" s="89" t="s">
        <v>28</v>
      </c>
      <c r="D48" s="5"/>
      <c r="H48" s="51"/>
    </row>
    <row r="49" spans="1:8" ht="17.25">
      <c r="A49" s="63">
        <f>+B12</f>
        <v>336693</v>
      </c>
      <c r="B49" s="63">
        <f>+C12</f>
        <v>245686.92</v>
      </c>
      <c r="C49" s="89" t="s">
        <v>1</v>
      </c>
      <c r="D49" s="5"/>
      <c r="H49" s="51"/>
    </row>
    <row r="50" spans="1:8" ht="17.25">
      <c r="A50" s="63">
        <f>+D12</f>
        <v>2170</v>
      </c>
      <c r="B50" s="63">
        <f>+E12</f>
        <v>101.2</v>
      </c>
      <c r="C50" s="89" t="s">
        <v>2</v>
      </c>
      <c r="D50" s="5"/>
      <c r="H50" s="51"/>
    </row>
    <row r="51" spans="1:8" ht="17.25">
      <c r="A51" s="63">
        <f>+F12</f>
        <v>125960</v>
      </c>
      <c r="B51" s="63">
        <f>+G12</f>
        <v>43452.61</v>
      </c>
      <c r="C51" s="89" t="s">
        <v>3</v>
      </c>
      <c r="D51" s="5"/>
      <c r="H51" s="51"/>
    </row>
    <row r="52" spans="1:3" ht="17.25">
      <c r="A52" s="63">
        <f>+J12</f>
        <v>0</v>
      </c>
      <c r="B52" s="63">
        <f>+K12</f>
        <v>8271.81</v>
      </c>
      <c r="C52" s="60" t="s">
        <v>32</v>
      </c>
    </row>
    <row r="53" spans="1:3" ht="17.25">
      <c r="A53" s="63">
        <f>+L12</f>
        <v>0</v>
      </c>
      <c r="B53" s="63">
        <f>+M12</f>
        <v>19383.44</v>
      </c>
      <c r="C53" s="60" t="s">
        <v>35</v>
      </c>
    </row>
    <row r="54" spans="1:2" ht="17.25">
      <c r="A54" s="62"/>
      <c r="B54" s="62"/>
    </row>
    <row r="55" spans="1:2" ht="17.25">
      <c r="A55" s="62">
        <v>167558</v>
      </c>
      <c r="B55" s="63">
        <v>40952.32</v>
      </c>
    </row>
    <row r="56" spans="1:2" ht="17.25">
      <c r="A56" s="62"/>
      <c r="B56" s="62"/>
    </row>
  </sheetData>
  <mergeCells count="9">
    <mergeCell ref="B2:E2"/>
    <mergeCell ref="F6:G6"/>
    <mergeCell ref="B3:C3"/>
    <mergeCell ref="D6:E6"/>
    <mergeCell ref="B6:C6"/>
    <mergeCell ref="I2:J2"/>
    <mergeCell ref="L6:M6"/>
    <mergeCell ref="J6:K6"/>
    <mergeCell ref="H6:I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J1">
      <selection activeCell="O1" sqref="O1"/>
    </sheetView>
  </sheetViews>
  <sheetFormatPr defaultColWidth="11.421875" defaultRowHeight="15"/>
  <cols>
    <col min="1" max="1" width="13.7109375" style="1" customWidth="1"/>
    <col min="2" max="2" width="10.140625" style="1" customWidth="1"/>
    <col min="3" max="3" width="13.421875" style="1" customWidth="1"/>
    <col min="4" max="4" width="9.140625" style="1" customWidth="1"/>
    <col min="5" max="5" width="12.57421875" style="1" customWidth="1"/>
    <col min="6" max="6" width="9.421875" style="1" customWidth="1"/>
    <col min="7" max="7" width="11.8515625" style="1" customWidth="1"/>
    <col min="8" max="8" width="7.421875" style="1" customWidth="1"/>
    <col min="9" max="9" width="10.574218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12.421875" style="1" customWidth="1"/>
    <col min="14" max="14" width="8.7109375" style="1" customWidth="1"/>
    <col min="15" max="15" width="12.421875" style="1" customWidth="1"/>
    <col min="16" max="16" width="13.140625" style="1" customWidth="1"/>
    <col min="17" max="17" width="12.00390625" style="1" customWidth="1"/>
    <col min="18" max="18" width="0.9921875" style="1" customWidth="1"/>
    <col min="19" max="16384" width="11.421875" style="1" customWidth="1"/>
  </cols>
  <sheetData>
    <row r="1" spans="1:15" ht="18">
      <c r="A1" s="144" t="s">
        <v>0</v>
      </c>
      <c r="B1" s="164" t="s">
        <v>116</v>
      </c>
      <c r="C1" s="176"/>
      <c r="D1" s="176"/>
      <c r="E1" s="176"/>
      <c r="F1" s="177"/>
      <c r="L1" s="173" t="s">
        <v>23</v>
      </c>
      <c r="M1" s="174"/>
      <c r="N1" s="148">
        <v>40787</v>
      </c>
      <c r="O1" s="23"/>
    </row>
    <row r="2" spans="2:4" ht="4.5" customHeight="1">
      <c r="B2" s="162"/>
      <c r="C2" s="179"/>
      <c r="D2" s="179"/>
    </row>
    <row r="3" ht="17.25" thickBot="1"/>
    <row r="4" spans="1:17" ht="17.25">
      <c r="A4" s="25"/>
      <c r="B4" s="171" t="s">
        <v>1</v>
      </c>
      <c r="C4" s="172"/>
      <c r="D4" s="171" t="s">
        <v>2</v>
      </c>
      <c r="E4" s="172"/>
      <c r="F4" s="171" t="s">
        <v>3</v>
      </c>
      <c r="G4" s="172"/>
      <c r="H4" s="171" t="s">
        <v>34</v>
      </c>
      <c r="I4" s="172"/>
      <c r="J4" s="171" t="s">
        <v>32</v>
      </c>
      <c r="K4" s="172"/>
      <c r="L4" s="171" t="s">
        <v>36</v>
      </c>
      <c r="M4" s="172"/>
      <c r="N4" s="171" t="s">
        <v>33</v>
      </c>
      <c r="O4" s="172"/>
      <c r="P4" s="26" t="s">
        <v>5</v>
      </c>
      <c r="Q4" s="26" t="s">
        <v>38</v>
      </c>
    </row>
    <row r="5" spans="1:17" ht="17.25">
      <c r="A5" s="27"/>
      <c r="B5" s="28" t="s">
        <v>31</v>
      </c>
      <c r="C5" s="28" t="s">
        <v>37</v>
      </c>
      <c r="D5" s="28" t="s">
        <v>31</v>
      </c>
      <c r="E5" s="28" t="s">
        <v>37</v>
      </c>
      <c r="F5" s="28" t="s">
        <v>31</v>
      </c>
      <c r="G5" s="28" t="s">
        <v>37</v>
      </c>
      <c r="H5" s="28" t="s">
        <v>31</v>
      </c>
      <c r="I5" s="28" t="s">
        <v>37</v>
      </c>
      <c r="J5" s="28" t="s">
        <v>31</v>
      </c>
      <c r="K5" s="28" t="s">
        <v>37</v>
      </c>
      <c r="L5" s="28" t="s">
        <v>31</v>
      </c>
      <c r="M5" s="28" t="s">
        <v>37</v>
      </c>
      <c r="N5" s="28" t="s">
        <v>31</v>
      </c>
      <c r="O5" s="28" t="s">
        <v>37</v>
      </c>
      <c r="P5" s="124" t="s">
        <v>25</v>
      </c>
      <c r="Q5" s="30" t="s">
        <v>39</v>
      </c>
    </row>
    <row r="6" spans="1:18" ht="17.25">
      <c r="A6" s="31" t="s">
        <v>14</v>
      </c>
      <c r="B6" s="32">
        <v>946485</v>
      </c>
      <c r="C6" s="33">
        <f>8366.37+515872.86+817.12+51660.65+2215.73+96908.03</f>
        <v>675840.76</v>
      </c>
      <c r="D6" s="66">
        <f>27630+80000+400000</f>
        <v>507630</v>
      </c>
      <c r="E6" s="33">
        <f>27.88+69799.07</f>
        <v>69826.95000000001</v>
      </c>
      <c r="F6" s="66">
        <f>167890+300000+500000</f>
        <v>967890</v>
      </c>
      <c r="G6" s="33">
        <f>7187.25+299925.47</f>
        <v>307112.72</v>
      </c>
      <c r="H6" s="66">
        <v>230000</v>
      </c>
      <c r="I6" s="33">
        <f>18166+84822.9</f>
        <v>102988.9</v>
      </c>
      <c r="J6" s="66">
        <f>31200+145000</f>
        <v>176200</v>
      </c>
      <c r="K6" s="33">
        <v>275.99</v>
      </c>
      <c r="L6" s="66">
        <v>0</v>
      </c>
      <c r="M6" s="33">
        <f>11958.75+61743.9</f>
        <v>73702.65</v>
      </c>
      <c r="N6" s="66">
        <f>176000+540000</f>
        <v>716000</v>
      </c>
      <c r="O6" s="33">
        <v>668742.55</v>
      </c>
      <c r="P6" s="34">
        <f aca="true" t="shared" si="0" ref="P6:P12">+O6+M6+K6+I6+G6+E6+C6</f>
        <v>1898490.52</v>
      </c>
      <c r="Q6" s="34">
        <f aca="true" t="shared" si="1" ref="Q6:Q12">+B6+D6+F6+H6+J6+L6+N6-P6</f>
        <v>1645714.48</v>
      </c>
      <c r="R6" s="5"/>
    </row>
    <row r="7" spans="1:18" ht="17.25">
      <c r="A7" s="31" t="s">
        <v>117</v>
      </c>
      <c r="B7" s="32">
        <v>1334282</v>
      </c>
      <c r="C7" s="33">
        <f>20385.01+589737.19+1776.98+295656.86+17664.17+259943.32</f>
        <v>1185163.53</v>
      </c>
      <c r="D7" s="66">
        <v>81672</v>
      </c>
      <c r="E7" s="33">
        <f>9418.21+101669.81</f>
        <v>111088.01999999999</v>
      </c>
      <c r="F7" s="66">
        <v>279689</v>
      </c>
      <c r="G7" s="33">
        <f>21227.09+278325.37+39737.09</f>
        <v>339289.55000000005</v>
      </c>
      <c r="H7" s="66">
        <v>0</v>
      </c>
      <c r="I7" s="33">
        <f>17355.84+1650</f>
        <v>19005.84</v>
      </c>
      <c r="J7" s="66">
        <v>0</v>
      </c>
      <c r="K7" s="33">
        <v>11340.64</v>
      </c>
      <c r="L7" s="66">
        <v>45000</v>
      </c>
      <c r="M7" s="33">
        <v>41971.02</v>
      </c>
      <c r="N7" s="66">
        <v>0</v>
      </c>
      <c r="O7" s="33">
        <v>29548.17</v>
      </c>
      <c r="P7" s="34">
        <f>+O7+M7+K7+I7+G7+E7+C7</f>
        <v>1737406.77</v>
      </c>
      <c r="Q7" s="34">
        <f t="shared" si="1"/>
        <v>3236.2299999999814</v>
      </c>
      <c r="R7" s="5"/>
    </row>
    <row r="8" spans="1:18" ht="17.25">
      <c r="A8" s="31" t="s">
        <v>118</v>
      </c>
      <c r="B8" s="32">
        <v>4954501</v>
      </c>
      <c r="C8" s="33">
        <f>69832.63+4436101.89</f>
        <v>4505934.52</v>
      </c>
      <c r="D8" s="66">
        <f>862748+130000</f>
        <v>992748</v>
      </c>
      <c r="E8" s="33">
        <f>71744.96+1498895.79</f>
        <v>1570640.75</v>
      </c>
      <c r="F8" s="66">
        <v>1295278</v>
      </c>
      <c r="G8" s="33">
        <f>3436+1050161.74</f>
        <v>1053597.74</v>
      </c>
      <c r="H8" s="66">
        <v>0</v>
      </c>
      <c r="I8" s="33">
        <v>400</v>
      </c>
      <c r="J8" s="66">
        <f>150000-125000</f>
        <v>25000</v>
      </c>
      <c r="K8" s="33">
        <v>41684.95</v>
      </c>
      <c r="L8" s="66">
        <v>0</v>
      </c>
      <c r="M8" s="33">
        <v>565.3</v>
      </c>
      <c r="N8" s="66">
        <v>0</v>
      </c>
      <c r="O8" s="33">
        <v>149534.16</v>
      </c>
      <c r="P8" s="34">
        <f t="shared" si="0"/>
        <v>7322357.42</v>
      </c>
      <c r="Q8" s="34">
        <f t="shared" si="1"/>
        <v>-54830.419999999925</v>
      </c>
      <c r="R8" s="156"/>
    </row>
    <row r="9" spans="1:17" ht="17.25">
      <c r="A9" s="31" t="s">
        <v>40</v>
      </c>
      <c r="B9" s="32">
        <v>2762032</v>
      </c>
      <c r="C9" s="33">
        <f>222508.86+2213589.76+4892.06+34885.52</f>
        <v>2475876.1999999997</v>
      </c>
      <c r="D9" s="66">
        <v>717277</v>
      </c>
      <c r="E9" s="33">
        <f>14520.26+906577.93</f>
        <v>921098.1900000001</v>
      </c>
      <c r="F9" s="66">
        <v>326109</v>
      </c>
      <c r="G9" s="33">
        <f>226.19+245585.71</f>
        <v>245811.9</v>
      </c>
      <c r="H9" s="66">
        <v>0</v>
      </c>
      <c r="I9" s="33">
        <v>2445.9</v>
      </c>
      <c r="J9" s="66">
        <v>0</v>
      </c>
      <c r="K9" s="33">
        <v>39796.12</v>
      </c>
      <c r="L9" s="66">
        <v>0</v>
      </c>
      <c r="M9" s="33">
        <f>27690+284802.67</f>
        <v>312492.67</v>
      </c>
      <c r="N9" s="66">
        <v>0</v>
      </c>
      <c r="O9" s="33">
        <v>101635.04</v>
      </c>
      <c r="P9" s="34">
        <f t="shared" si="0"/>
        <v>4099156.0199999996</v>
      </c>
      <c r="Q9" s="34">
        <f t="shared" si="1"/>
        <v>-293738.01999999955</v>
      </c>
    </row>
    <row r="10" spans="1:17" ht="17.25">
      <c r="A10" s="31" t="s">
        <v>119</v>
      </c>
      <c r="B10" s="32">
        <v>112772</v>
      </c>
      <c r="C10" s="33">
        <f>9877.48+81033.53</f>
        <v>90911.01</v>
      </c>
      <c r="D10" s="98">
        <v>598650</v>
      </c>
      <c r="E10" s="78">
        <f>963.24+94665.61</f>
        <v>95628.85</v>
      </c>
      <c r="F10" s="98">
        <v>0</v>
      </c>
      <c r="G10" s="78">
        <f>1791.5+12498</f>
        <v>14289.5</v>
      </c>
      <c r="H10" s="98">
        <v>0</v>
      </c>
      <c r="I10" s="78">
        <v>0</v>
      </c>
      <c r="J10" s="98">
        <v>13042</v>
      </c>
      <c r="K10" s="78">
        <v>1478</v>
      </c>
      <c r="L10" s="98">
        <v>200000</v>
      </c>
      <c r="M10" s="78">
        <f>4861.2+24665.06</f>
        <v>29526.260000000002</v>
      </c>
      <c r="N10" s="98">
        <v>0</v>
      </c>
      <c r="O10" s="78">
        <v>2862</v>
      </c>
      <c r="P10" s="34">
        <f t="shared" si="0"/>
        <v>234695.62</v>
      </c>
      <c r="Q10" s="34">
        <f t="shared" si="1"/>
        <v>689768.38</v>
      </c>
    </row>
    <row r="11" spans="1:17" ht="17.25">
      <c r="A11" s="31" t="s">
        <v>120</v>
      </c>
      <c r="B11" s="32">
        <v>602963</v>
      </c>
      <c r="C11" s="33">
        <f>77336.45+499762.28</f>
        <v>577098.73</v>
      </c>
      <c r="D11" s="66">
        <v>314491</v>
      </c>
      <c r="E11" s="33">
        <f>656.52+394211.85</f>
        <v>394868.37</v>
      </c>
      <c r="F11" s="66">
        <f>1500000-250000</f>
        <v>1250000</v>
      </c>
      <c r="G11" s="33">
        <v>1525655.4</v>
      </c>
      <c r="H11" s="98">
        <v>0</v>
      </c>
      <c r="I11" s="33">
        <v>0</v>
      </c>
      <c r="J11" s="98">
        <v>0</v>
      </c>
      <c r="K11" s="33">
        <v>0</v>
      </c>
      <c r="L11" s="98">
        <v>0</v>
      </c>
      <c r="M11" s="33">
        <v>0</v>
      </c>
      <c r="N11" s="98">
        <v>0</v>
      </c>
      <c r="O11" s="33">
        <v>19926.28</v>
      </c>
      <c r="P11" s="34">
        <f t="shared" si="0"/>
        <v>2517548.78</v>
      </c>
      <c r="Q11" s="34">
        <f t="shared" si="1"/>
        <v>-350094.7799999998</v>
      </c>
    </row>
    <row r="12" spans="1:17" ht="17.25">
      <c r="A12" s="31" t="s">
        <v>78</v>
      </c>
      <c r="B12" s="32">
        <v>4409449</v>
      </c>
      <c r="C12" s="33">
        <f>756207.55+2525481.94+97260.89+263163.94+6981.66+23059.86+8151.31+31255.57</f>
        <v>3711562.72</v>
      </c>
      <c r="D12" s="66">
        <v>179571</v>
      </c>
      <c r="E12" s="33">
        <f>3234.25+314469.25</f>
        <v>317703.5</v>
      </c>
      <c r="F12" s="66">
        <v>381061</v>
      </c>
      <c r="G12" s="33">
        <f>8795.43+422701.12+1700+13600</f>
        <v>446796.55</v>
      </c>
      <c r="H12" s="66">
        <v>2000</v>
      </c>
      <c r="I12" s="33">
        <v>0</v>
      </c>
      <c r="J12" s="66">
        <v>1250</v>
      </c>
      <c r="K12" s="33">
        <f>260+111975</f>
        <v>112235</v>
      </c>
      <c r="L12" s="66">
        <v>650000</v>
      </c>
      <c r="M12" s="33">
        <f>51156.3+619012.12</f>
        <v>670168.42</v>
      </c>
      <c r="N12" s="66">
        <v>0</v>
      </c>
      <c r="O12" s="33">
        <v>104236.66</v>
      </c>
      <c r="P12" s="34">
        <f t="shared" si="0"/>
        <v>5362702.850000001</v>
      </c>
      <c r="Q12" s="34">
        <f t="shared" si="1"/>
        <v>260628.14999999944</v>
      </c>
    </row>
    <row r="13" spans="1:18" ht="18" thickBot="1">
      <c r="A13" s="38" t="s">
        <v>11</v>
      </c>
      <c r="B13" s="39">
        <f aca="true" t="shared" si="2" ref="B13:Q13">SUM(B6:B12)</f>
        <v>15122484</v>
      </c>
      <c r="C13" s="40">
        <f t="shared" si="2"/>
        <v>13222387.47</v>
      </c>
      <c r="D13" s="39">
        <f t="shared" si="2"/>
        <v>3392039</v>
      </c>
      <c r="E13" s="40">
        <f t="shared" si="2"/>
        <v>3480854.6300000004</v>
      </c>
      <c r="F13" s="39">
        <f t="shared" si="2"/>
        <v>4500027</v>
      </c>
      <c r="G13" s="40">
        <f t="shared" si="2"/>
        <v>3932553.3599999994</v>
      </c>
      <c r="H13" s="39">
        <f t="shared" si="2"/>
        <v>232000</v>
      </c>
      <c r="I13" s="40">
        <f t="shared" si="2"/>
        <v>124840.63999999998</v>
      </c>
      <c r="J13" s="39">
        <f t="shared" si="2"/>
        <v>215492</v>
      </c>
      <c r="K13" s="40">
        <f t="shared" si="2"/>
        <v>206810.7</v>
      </c>
      <c r="L13" s="39">
        <f t="shared" si="2"/>
        <v>895000</v>
      </c>
      <c r="M13" s="40">
        <f t="shared" si="2"/>
        <v>1128426.32</v>
      </c>
      <c r="N13" s="39">
        <f t="shared" si="2"/>
        <v>716000</v>
      </c>
      <c r="O13" s="40">
        <f t="shared" si="2"/>
        <v>1076484.86</v>
      </c>
      <c r="P13" s="42">
        <f t="shared" si="2"/>
        <v>23172357.98</v>
      </c>
      <c r="Q13" s="42">
        <f t="shared" si="2"/>
        <v>1900684.02</v>
      </c>
      <c r="R13" s="5"/>
    </row>
    <row r="14" spans="1:17" ht="17.25" thickBot="1">
      <c r="A14" s="38" t="s">
        <v>30</v>
      </c>
      <c r="B14" s="86"/>
      <c r="C14" s="91">
        <f>+C13/B13</f>
        <v>0.8743528821058763</v>
      </c>
      <c r="D14" s="91"/>
      <c r="E14" s="91">
        <f>+E13/D13</f>
        <v>1.0261835521348666</v>
      </c>
      <c r="F14" s="91"/>
      <c r="G14" s="91">
        <f>+G13/F13</f>
        <v>0.8738955032936467</v>
      </c>
      <c r="H14" s="91"/>
      <c r="I14" s="91">
        <f>+I13/H13</f>
        <v>0.5381062068965516</v>
      </c>
      <c r="J14" s="91"/>
      <c r="K14" s="91">
        <f>+K13/J13</f>
        <v>0.959714049709502</v>
      </c>
      <c r="L14" s="146"/>
      <c r="M14" s="145">
        <f>+M13/L13</f>
        <v>1.260811530726257</v>
      </c>
      <c r="N14" s="45"/>
      <c r="O14" s="139">
        <f>+O13/N13</f>
        <v>1.5034704748603354</v>
      </c>
      <c r="P14" s="56"/>
      <c r="Q14" s="5"/>
    </row>
    <row r="15" spans="1:17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  <c r="Q15" s="5"/>
    </row>
    <row r="16" ht="16.5">
      <c r="Q16" s="5"/>
    </row>
    <row r="33" ht="16.5">
      <c r="J33" s="59"/>
    </row>
    <row r="38" spans="1:6" ht="16.5">
      <c r="A38" s="51"/>
      <c r="B38" s="51"/>
      <c r="C38" s="51"/>
      <c r="D38" s="51"/>
      <c r="E38" s="51"/>
      <c r="F38" s="51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1:6" ht="16.5">
      <c r="A43" s="76"/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ht="16.5">
      <c r="C47" s="48"/>
    </row>
    <row r="49" spans="1:4" ht="16.5">
      <c r="A49" s="60" t="s">
        <v>26</v>
      </c>
      <c r="B49" s="69" t="s">
        <v>27</v>
      </c>
      <c r="C49" s="60" t="s">
        <v>28</v>
      </c>
      <c r="D49" s="60"/>
    </row>
    <row r="50" spans="1:3" ht="17.25">
      <c r="A50" s="62">
        <f>+B13</f>
        <v>15122484</v>
      </c>
      <c r="B50" s="63">
        <f>+C13</f>
        <v>13222387.47</v>
      </c>
      <c r="C50" s="60" t="s">
        <v>1</v>
      </c>
    </row>
    <row r="51" spans="1:3" ht="17.25">
      <c r="A51" s="62">
        <f>+D13</f>
        <v>3392039</v>
      </c>
      <c r="B51" s="63">
        <f>+E13</f>
        <v>3480854.6300000004</v>
      </c>
      <c r="C51" s="60" t="s">
        <v>2</v>
      </c>
    </row>
    <row r="52" spans="1:3" ht="17.25">
      <c r="A52" s="62">
        <f>+F13</f>
        <v>4500027</v>
      </c>
      <c r="B52" s="63">
        <f>+G13</f>
        <v>3932553.3599999994</v>
      </c>
      <c r="C52" s="60" t="s">
        <v>3</v>
      </c>
    </row>
    <row r="53" spans="1:3" ht="17.25">
      <c r="A53" s="64">
        <f>+H13</f>
        <v>232000</v>
      </c>
      <c r="B53" s="63">
        <f>+I13</f>
        <v>124840.63999999998</v>
      </c>
      <c r="C53" s="60" t="s">
        <v>34</v>
      </c>
    </row>
    <row r="54" spans="1:3" ht="17.25">
      <c r="A54" s="64">
        <f>+J13</f>
        <v>215492</v>
      </c>
      <c r="B54" s="63">
        <f>+K13</f>
        <v>206810.7</v>
      </c>
      <c r="C54" s="60" t="s">
        <v>32</v>
      </c>
    </row>
    <row r="55" spans="1:3" ht="17.25">
      <c r="A55" s="62">
        <f>+L13</f>
        <v>895000</v>
      </c>
      <c r="B55" s="63">
        <f>+M13</f>
        <v>1128426.32</v>
      </c>
      <c r="C55" s="60" t="s">
        <v>29</v>
      </c>
    </row>
    <row r="56" spans="1:3" ht="17.25">
      <c r="A56" s="62">
        <f>+N13</f>
        <v>716000</v>
      </c>
      <c r="B56" s="63">
        <f>+O13</f>
        <v>1076484.86</v>
      </c>
      <c r="C56" s="60" t="s">
        <v>35</v>
      </c>
    </row>
    <row r="57" spans="1:2" ht="17.25">
      <c r="A57" s="62"/>
      <c r="B57" s="62"/>
    </row>
    <row r="58" spans="1:2" ht="17.25">
      <c r="A58" s="62">
        <v>4568329</v>
      </c>
      <c r="B58" s="63">
        <v>1360852.79</v>
      </c>
    </row>
  </sheetData>
  <mergeCells count="10">
    <mergeCell ref="B2:D2"/>
    <mergeCell ref="J4:K4"/>
    <mergeCell ref="L4:M4"/>
    <mergeCell ref="L1:M1"/>
    <mergeCell ref="B1:F1"/>
    <mergeCell ref="N4:O4"/>
    <mergeCell ref="B4:C4"/>
    <mergeCell ref="D4:E4"/>
    <mergeCell ref="F4:G4"/>
    <mergeCell ref="H4:I4"/>
  </mergeCells>
  <printOptions/>
  <pageMargins left="0.45" right="0.46" top="0.9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2011-10-31T14:01:46Z</cp:lastPrinted>
  <dcterms:created xsi:type="dcterms:W3CDTF">2000-04-26T12:06:38Z</dcterms:created>
  <dcterms:modified xsi:type="dcterms:W3CDTF">2011-10-31T14:01:49Z</dcterms:modified>
  <cp:category/>
  <cp:version/>
  <cp:contentType/>
  <cp:contentStatus/>
</cp:coreProperties>
</file>