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77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." sheetId="10" r:id="rId10"/>
    <sheet name="DEP.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<sst xmlns="http://schemas.openxmlformats.org/spreadsheetml/2006/main" count="554" uniqueCount="140">
  <si>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</si>
  <si>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</si>
  <si>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</si>
  <si>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</si>
  <si>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</si>
  <si>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</si>
  <si>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</si>
  <si>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</si>
  <si>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</si>
  <si>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</si>
  <si>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</si>
  <si>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</si>
  <si>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Dir.Planeamiento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</si>
  <si>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</si>
  <si>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</si>
  <si>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</si>
  <si>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</si>
  <si>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</si>
  <si>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</si>
  <si>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</si>
  <si>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</si>
  <si>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</si>
  <si>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</si>
  <si>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</si>
  <si>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</si>
  <si>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</si>
  <si>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</si>
  <si>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</si>
  <si>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</si>
  <si>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</si>
  <si>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</si>
  <si>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</si>
  <si>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</si>
  <si>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</si>
  <si>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</si>
  <si>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</si>
  <si>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</si>
  <si>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</si>
  <si>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</si>
  <si>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</si>
  <si>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</si>
  <si>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</si>
  <si>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</si>
  <si>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</si>
  <si>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</si>
  <si>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</si>
  <si>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</si>
  <si>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</si>
  <si>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</si>
  <si>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</si>
  <si>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</si>
  <si>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</si>
  <si>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</si>
  <si>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</si>
  <si>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</si>
  <si>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</si>
  <si>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</si>
  <si>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</si>
  <si>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</si>
  <si>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</si>
  <si>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</si>
  <si>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</si>
  <si>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</si>
  <si>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</si>
  <si>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</si>
  <si>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</si>
  <si>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</si>
  <si>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</si>
  <si>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</si>
  <si>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</si>
  <si>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</si>
  <si>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</si>
  <si>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</si>
  <si>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</si>
  <si>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</si>
  <si>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</si>
  <si>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</si>
  <si>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</si>
  <si>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</si>
  <si>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</si>
  <si>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</si>
  <si>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</si>
  <si>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</si>
  <si>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</si>
  <si>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</si>
  <si>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</si>
  <si>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</si>
  <si>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</si>
  <si>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</si>
  <si>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</si>
  <si>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</si>
  <si>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</si>
  <si>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</si>
  <si>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</si>
  <si>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Centro Cultural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</si>
  <si>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</si>
  <si>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</si>
  <si>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</si>
  <si>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</si>
  <si>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</si>
  <si>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</si>
  <si>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</si>
  <si>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</si>
  <si>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</si>
  <si>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</si>
  <si>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</si>
  <si>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</si>
  <si>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</si>
  <si>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</si>
  <si>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 ECONOMÍA  Y  HACIENDA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</si>
  <si>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</si>
  <si>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</si>
  <si>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</si>
  <si>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</si>
  <si>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</si>
  <si>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Frente Grande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</si>
  <si>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</si>
  <si>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</si>
  <si>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</si>
  <si>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</si>
  <si>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</si>
  <si>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</si>
  <si>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</si>
  <si>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</si>
  <si>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</si>
  <si>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</si>
  <si>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</si>
  <si>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</si>
  <si>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</si>
  <si>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</si>
  <si>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</si>
  <si>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</si>
  <si>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</si>
  <si>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 xml:space="preserve">                TRANSF. CTES.</t>
  </si>
  <si>
    <t>Coord.Artes Dramáticas</t>
  </si>
  <si>
    <t>Coord.Artes Sonoras</t>
  </si>
  <si>
    <t>Coord.Relac.Culturales</t>
  </si>
  <si>
    <t>Coord.Artes Visuales</t>
  </si>
  <si>
    <t>Coord. Artes del Movim.</t>
  </si>
  <si>
    <t>Coord. Talleres Barriales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</si>
</sst>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0">
    <font>
      <sz val="11"/>
      <name val="Garamond"/>
      <family val="0"/>
    </font>
    <font>
      <sz val="20.5"/>
      <name val="Garamond"/>
      <family val="0"/>
    </font>
    <font>
      <sz val="21.75"/>
      <name val="Garamond"/>
      <family val="0"/>
    </font>
    <font>
      <sz val="23.5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22.5"/>
      <name val="Garamond"/>
      <family val="0"/>
    </font>
    <font>
      <sz val="21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22"/>
      <name val="Garamond"/>
      <family val="0"/>
    </font>
    <font>
      <sz val="20"/>
      <name val="Garamond"/>
      <family val="0"/>
    </font>
    <font>
      <sz val="8"/>
      <name val="Garamond"/>
      <family val="0"/>
    </font>
    <font>
      <sz val="29"/>
      <name val="Garamond"/>
      <family val="0"/>
    </font>
    <font>
      <sz val="29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1.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i/>
      <u val="single"/>
      <sz val="10.25"/>
      <name val="Trebuchet MS"/>
      <family val="2"/>
    </font>
    <font>
      <b/>
      <sz val="7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6.75"/>
      <name val="Trebuchet MS"/>
      <family val="2"/>
    </font>
    <font>
      <b/>
      <sz val="4.75"/>
      <name val="Trebuchet MS"/>
      <family val="2"/>
    </font>
    <font>
      <sz val="11"/>
      <color indexed="20"/>
      <name val="Garamond"/>
      <family val="0"/>
    </font>
    <font>
      <b/>
      <sz val="5"/>
      <name val="Trebuchet MS"/>
      <family val="2"/>
    </font>
    <font>
      <sz val="12"/>
      <color indexed="20"/>
      <name val="Garamond"/>
      <family val="0"/>
    </font>
    <font>
      <b/>
      <sz val="7"/>
      <name val="Trebuchet MS"/>
      <family val="2"/>
    </font>
    <font>
      <b/>
      <sz val="6.5"/>
      <name val="Trebuchet MS"/>
      <family val="2"/>
    </font>
    <font>
      <b/>
      <sz val="5.75"/>
      <name val="Trebuchet MS"/>
      <family val="2"/>
    </font>
    <font>
      <b/>
      <sz val="6"/>
      <name val="Trebuchet MS"/>
      <family val="2"/>
    </font>
    <font>
      <b/>
      <i/>
      <sz val="12"/>
      <color indexed="18"/>
      <name val="Trebuchet MS"/>
      <family val="2"/>
    </font>
    <font>
      <i/>
      <sz val="12"/>
      <color indexed="18"/>
      <name val="Garamond"/>
      <family val="0"/>
    </font>
    <font>
      <i/>
      <sz val="11"/>
      <color indexed="18"/>
      <name val="Garamond"/>
      <family val="0"/>
    </font>
    <font>
      <i/>
      <sz val="12"/>
      <color indexed="18"/>
      <name val="Trebuchet MS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>
        <color indexed="63"/>
      </right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double"/>
      <right style="hair"/>
      <top>
        <color indexed="63"/>
      </top>
      <bottom>
        <color indexed="63"/>
      </bottom>
    </border>
    <border>
      <left style="slantDashDot"/>
      <right style="slantDashDot"/>
      <top style="thin"/>
      <bottom style="slantDashDot"/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1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7" xfId="0" applyFont="1" applyBorder="1" applyAlignment="1">
      <alignment/>
    </xf>
    <xf numFmtId="9" fontId="21" fillId="0" borderId="0" xfId="0" applyNumberFormat="1" applyFont="1" applyAlignment="1">
      <alignment/>
    </xf>
    <xf numFmtId="4" fontId="15" fillId="0" borderId="8" xfId="0" applyNumberFormat="1" applyFont="1" applyBorder="1" applyAlignment="1">
      <alignment/>
    </xf>
    <xf numFmtId="10" fontId="15" fillId="0" borderId="8" xfId="0" applyNumberFormat="1" applyFont="1" applyBorder="1" applyAlignment="1">
      <alignment/>
    </xf>
    <xf numFmtId="10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15" fillId="0" borderId="13" xfId="0" applyNumberFormat="1" applyFont="1" applyBorder="1" applyAlignment="1">
      <alignment/>
    </xf>
    <xf numFmtId="17" fontId="2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17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32" fillId="0" borderId="20" xfId="0" applyFont="1" applyBorder="1" applyAlignment="1">
      <alignment/>
    </xf>
    <xf numFmtId="3" fontId="32" fillId="0" borderId="21" xfId="0" applyNumberFormat="1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23" xfId="0" applyNumberFormat="1" applyFont="1" applyBorder="1" applyAlignment="1">
      <alignment/>
    </xf>
    <xf numFmtId="0" fontId="32" fillId="0" borderId="21" xfId="0" applyFont="1" applyBorder="1" applyAlignment="1">
      <alignment/>
    </xf>
    <xf numFmtId="4" fontId="21" fillId="0" borderId="22" xfId="0" applyNumberFormat="1" applyFont="1" applyBorder="1" applyAlignment="1">
      <alignment/>
    </xf>
    <xf numFmtId="4" fontId="33" fillId="0" borderId="21" xfId="0" applyNumberFormat="1" applyFont="1" applyBorder="1" applyAlignment="1">
      <alignment/>
    </xf>
    <xf numFmtId="0" fontId="20" fillId="0" borderId="24" xfId="0" applyFont="1" applyBorder="1" applyAlignment="1">
      <alignment/>
    </xf>
    <xf numFmtId="3" fontId="15" fillId="0" borderId="25" xfId="0" applyNumberFormat="1" applyFont="1" applyBorder="1" applyAlignment="1">
      <alignment/>
    </xf>
    <xf numFmtId="4" fontId="33" fillId="0" borderId="26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9" fontId="21" fillId="0" borderId="30" xfId="19" applyFont="1" applyBorder="1" applyAlignment="1">
      <alignment/>
    </xf>
    <xf numFmtId="9" fontId="21" fillId="0" borderId="30" xfId="19" applyNumberFormat="1" applyFont="1" applyBorder="1" applyAlignment="1">
      <alignment/>
    </xf>
    <xf numFmtId="9" fontId="21" fillId="0" borderId="31" xfId="19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9" fontId="21" fillId="0" borderId="0" xfId="19" applyFont="1" applyBorder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171" fontId="33" fillId="0" borderId="0" xfId="15" applyFont="1" applyAlignment="1">
      <alignment/>
    </xf>
    <xf numFmtId="17" fontId="31" fillId="0" borderId="0" xfId="0" applyNumberFormat="1" applyFont="1" applyAlignment="1">
      <alignment/>
    </xf>
    <xf numFmtId="3" fontId="33" fillId="0" borderId="2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3" fontId="32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5" fillId="0" borderId="32" xfId="0" applyFont="1" applyBorder="1" applyAlignment="1">
      <alignment horizontal="center"/>
    </xf>
    <xf numFmtId="3" fontId="33" fillId="0" borderId="22" xfId="0" applyNumberFormat="1" applyFont="1" applyBorder="1" applyAlignment="1">
      <alignment/>
    </xf>
    <xf numFmtId="3" fontId="15" fillId="0" borderId="25" xfId="15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2" fillId="0" borderId="21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4" fontId="32" fillId="0" borderId="23" xfId="0" applyNumberFormat="1" applyFont="1" applyBorder="1" applyAlignment="1">
      <alignment/>
    </xf>
    <xf numFmtId="17" fontId="21" fillId="0" borderId="0" xfId="0" applyNumberFormat="1" applyFont="1" applyAlignment="1">
      <alignment/>
    </xf>
    <xf numFmtId="0" fontId="33" fillId="0" borderId="20" xfId="0" applyFont="1" applyBorder="1" applyAlignment="1">
      <alignment/>
    </xf>
    <xf numFmtId="4" fontId="33" fillId="0" borderId="33" xfId="0" applyNumberFormat="1" applyFont="1" applyBorder="1" applyAlignment="1">
      <alignment/>
    </xf>
    <xf numFmtId="0" fontId="20" fillId="0" borderId="25" xfId="0" applyFont="1" applyBorder="1" applyAlignment="1">
      <alignment/>
    </xf>
    <xf numFmtId="9" fontId="21" fillId="0" borderId="26" xfId="19" applyFont="1" applyBorder="1" applyAlignment="1">
      <alignment/>
    </xf>
    <xf numFmtId="9" fontId="21" fillId="0" borderId="34" xfId="19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0" fontId="21" fillId="0" borderId="26" xfId="19" applyNumberFormat="1" applyFont="1" applyBorder="1" applyAlignment="1">
      <alignment/>
    </xf>
    <xf numFmtId="4" fontId="33" fillId="0" borderId="32" xfId="0" applyNumberFormat="1" applyFont="1" applyBorder="1" applyAlignment="1">
      <alignment/>
    </xf>
    <xf numFmtId="0" fontId="40" fillId="0" borderId="0" xfId="0" applyFont="1" applyAlignment="1">
      <alignment/>
    </xf>
    <xf numFmtId="0" fontId="27" fillId="0" borderId="0" xfId="0" applyFont="1" applyFill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20" fillId="0" borderId="25" xfId="0" applyNumberFormat="1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4" fontId="33" fillId="0" borderId="35" xfId="0" applyNumberFormat="1" applyFont="1" applyBorder="1" applyAlignment="1">
      <alignment/>
    </xf>
    <xf numFmtId="10" fontId="33" fillId="0" borderId="35" xfId="0" applyNumberFormat="1" applyFont="1" applyBorder="1" applyAlignment="1">
      <alignment/>
    </xf>
    <xf numFmtId="4" fontId="33" fillId="0" borderId="36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32" fillId="0" borderId="42" xfId="0" applyFont="1" applyBorder="1" applyAlignment="1">
      <alignment/>
    </xf>
    <xf numFmtId="4" fontId="33" fillId="0" borderId="43" xfId="0" applyNumberFormat="1" applyFont="1" applyBorder="1" applyAlignment="1">
      <alignment/>
    </xf>
    <xf numFmtId="4" fontId="33" fillId="0" borderId="44" xfId="0" applyNumberFormat="1" applyFont="1" applyBorder="1" applyAlignment="1">
      <alignment/>
    </xf>
    <xf numFmtId="0" fontId="20" fillId="0" borderId="45" xfId="0" applyFont="1" applyBorder="1" applyAlignment="1">
      <alignment/>
    </xf>
    <xf numFmtId="9" fontId="21" fillId="0" borderId="46" xfId="19" applyFont="1" applyBorder="1" applyAlignment="1">
      <alignment/>
    </xf>
    <xf numFmtId="9" fontId="21" fillId="0" borderId="47" xfId="19" applyFont="1" applyBorder="1" applyAlignment="1">
      <alignment/>
    </xf>
    <xf numFmtId="3" fontId="15" fillId="0" borderId="48" xfId="0" applyNumberFormat="1" applyFont="1" applyBorder="1" applyAlignment="1">
      <alignment/>
    </xf>
    <xf numFmtId="4" fontId="33" fillId="0" borderId="49" xfId="0" applyNumberFormat="1" applyFont="1" applyBorder="1" applyAlignment="1">
      <alignment/>
    </xf>
    <xf numFmtId="4" fontId="33" fillId="0" borderId="48" xfId="0" applyNumberFormat="1" applyFont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7" fontId="41" fillId="0" borderId="0" xfId="0" applyNumberFormat="1" applyFont="1" applyFill="1" applyAlignment="1">
      <alignment horizontal="center"/>
    </xf>
    <xf numFmtId="17" fontId="42" fillId="0" borderId="0" xfId="0" applyNumberFormat="1" applyFont="1" applyAlignment="1">
      <alignment/>
    </xf>
    <xf numFmtId="0" fontId="15" fillId="0" borderId="54" xfId="0" applyFont="1" applyBorder="1" applyAlignment="1">
      <alignment horizontal="center"/>
    </xf>
    <xf numFmtId="17" fontId="41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4" fontId="33" fillId="0" borderId="58" xfId="0" applyNumberFormat="1" applyFont="1" applyBorder="1" applyAlignment="1">
      <alignment/>
    </xf>
    <xf numFmtId="4" fontId="33" fillId="0" borderId="59" xfId="0" applyNumberFormat="1" applyFont="1" applyBorder="1" applyAlignment="1">
      <alignment/>
    </xf>
    <xf numFmtId="4" fontId="33" fillId="0" borderId="60" xfId="0" applyNumberFormat="1" applyFont="1" applyBorder="1" applyAlignment="1">
      <alignment/>
    </xf>
    <xf numFmtId="10" fontId="21" fillId="0" borderId="30" xfId="19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0" fontId="21" fillId="0" borderId="61" xfId="19" applyNumberFormat="1" applyFont="1" applyBorder="1" applyAlignment="1">
      <alignment/>
    </xf>
    <xf numFmtId="9" fontId="21" fillId="0" borderId="62" xfId="19" applyFont="1" applyBorder="1" applyAlignment="1">
      <alignment/>
    </xf>
    <xf numFmtId="9" fontId="21" fillId="0" borderId="63" xfId="19" applyFont="1" applyBorder="1" applyAlignment="1">
      <alignment/>
    </xf>
    <xf numFmtId="10" fontId="21" fillId="0" borderId="46" xfId="19" applyNumberFormat="1" applyFont="1" applyBorder="1" applyAlignment="1">
      <alignment/>
    </xf>
    <xf numFmtId="10" fontId="21" fillId="0" borderId="62" xfId="19" applyNumberFormat="1" applyFont="1" applyBorder="1" applyAlignment="1">
      <alignment/>
    </xf>
    <xf numFmtId="10" fontId="21" fillId="0" borderId="64" xfId="19" applyNumberFormat="1" applyFont="1" applyBorder="1" applyAlignment="1">
      <alignment/>
    </xf>
    <xf numFmtId="0" fontId="15" fillId="0" borderId="0" xfId="0" applyFont="1" applyAlignment="1">
      <alignment horizontal="right"/>
    </xf>
    <xf numFmtId="10" fontId="21" fillId="0" borderId="31" xfId="19" applyNumberFormat="1" applyFont="1" applyBorder="1" applyAlignment="1">
      <alignment/>
    </xf>
    <xf numFmtId="9" fontId="21" fillId="0" borderId="61" xfId="19" applyNumberFormat="1" applyFont="1" applyBorder="1" applyAlignment="1">
      <alignment/>
    </xf>
    <xf numFmtId="10" fontId="21" fillId="0" borderId="34" xfId="19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0" fontId="21" fillId="0" borderId="65" xfId="19" applyNumberFormat="1" applyFont="1" applyBorder="1" applyAlignment="1">
      <alignment/>
    </xf>
    <xf numFmtId="17" fontId="56" fillId="0" borderId="0" xfId="0" applyNumberFormat="1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0" fillId="11" borderId="66" xfId="0" applyFont="1" applyFill="1" applyBorder="1" applyAlignment="1">
      <alignment/>
    </xf>
    <xf numFmtId="4" fontId="33" fillId="0" borderId="67" xfId="0" applyNumberFormat="1" applyFon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center"/>
    </xf>
    <xf numFmtId="0" fontId="56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45" fillId="0" borderId="0" xfId="0" applyFont="1" applyFill="1" applyAlignment="1">
      <alignment horizontal="center" wrapText="1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7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11" borderId="70" xfId="0" applyFont="1" applyFill="1" applyBorder="1" applyAlignment="1">
      <alignment horizontal="center"/>
    </xf>
    <xf numFmtId="0" fontId="15" fillId="11" borderId="71" xfId="0" applyFont="1" applyFill="1" applyBorder="1" applyAlignment="1">
      <alignment horizontal="center"/>
    </xf>
    <xf numFmtId="0" fontId="15" fillId="11" borderId="7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C"/>
                </a:gs>
                <a:gs pos="50000">
                  <a:srgbClr val="000080"/>
                </a:gs>
                <a:gs pos="100000">
                  <a:srgbClr val="00003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208181"/>
                </a:gs>
                <a:gs pos="50000">
                  <a:srgbClr val="33CCCC"/>
                </a:gs>
                <a:gs pos="100000">
                  <a:srgbClr val="20818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21984461"/>
        <c:crosses val="autoZero"/>
        <c:auto val="1"/>
        <c:lblOffset val="100"/>
        <c:noMultiLvlLbl val="0"/>
      </c:catAx>
      <c:valAx>
        <c:axId val="21984461"/>
        <c:scaling>
          <c:orientation val="minMax"/>
          <c:max val="1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397254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395"/>
          <c:w val="0.472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4"/>
          <c:w val="0.983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'CULT.'!$A$52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'CULT.'!$A$53:$A$59</c:f>
              <c:numCache/>
            </c:numRef>
          </c:val>
        </c:ser>
        <c:ser>
          <c:idx val="1"/>
          <c:order val="1"/>
          <c:tx>
            <c:strRef>
              <c:f>'CULT.'!$B$52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'CULT.'!$B$53:$B$59</c:f>
              <c:numCache/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  <c:max val="2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42439174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4125"/>
          <c:w val="0.48725"/>
          <c:h val="0.0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'DEP.'!$A$46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'DEP.'!$A$47:$A$53</c:f>
              <c:numCache/>
            </c:numRef>
          </c:val>
        </c:ser>
        <c:ser>
          <c:idx val="1"/>
          <c:order val="1"/>
          <c:tx>
            <c:strRef>
              <c:f>'DEP.'!$B$46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'DEP.'!$B$47:$B$53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  <c:max val="12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15021040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5"/>
          <c:y val="0.94525"/>
          <c:w val="0.488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1"/>
          <c:h val="0.8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TOTAL!$L$61:$L$71</c:f>
              <c:numCache/>
            </c:numRef>
          </c:val>
          <c:shape val="cylinder"/>
        </c:ser>
        <c:overlap val="100"/>
        <c:shape val="cylinder"/>
        <c:axId val="8744698"/>
        <c:axId val="11593419"/>
      </c:bar3D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1593419"/>
        <c:crosses val="autoZero"/>
        <c:auto val="1"/>
        <c:lblOffset val="100"/>
        <c:noMultiLvlLbl val="0"/>
      </c:catAx>
      <c:valAx>
        <c:axId val="11593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87446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5"/>
          <c:w val="0.986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GOB!$A$51:$A$57</c:f>
              <c:numCache/>
            </c:numRef>
          </c:val>
        </c:ser>
        <c:ser>
          <c:idx val="1"/>
          <c:order val="1"/>
          <c:tx>
            <c:strRef>
              <c:f>GOB!$B$50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GOB!$B$51:$B$57</c:f>
              <c:numCache/>
            </c:numRef>
          </c:val>
        </c:ser>
        <c:axId val="63642422"/>
        <c:axId val="35910887"/>
      </c:bar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5910887"/>
        <c:crosses val="autoZero"/>
        <c:auto val="1"/>
        <c:lblOffset val="100"/>
        <c:noMultiLvlLbl val="0"/>
      </c:catAx>
      <c:valAx>
        <c:axId val="35910887"/>
        <c:scaling>
          <c:orientation val="minMax"/>
          <c:max val="3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636424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9455"/>
          <c:w val="0.43775"/>
          <c:h val="0.051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4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54762528"/>
        <c:axId val="23100705"/>
      </c:bar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  <c:max val="35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/>
            </a:pPr>
          </a:p>
        </c:txPr>
        <c:crossAx val="54762528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4825"/>
          <c:w val="0.4535"/>
          <c:h val="0.05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7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SAS!$A$49:$A$55</c:f>
              <c:numCache/>
            </c:numRef>
          </c:val>
        </c:ser>
        <c:ser>
          <c:idx val="1"/>
          <c:order val="1"/>
          <c:tx>
            <c:strRef>
              <c:f>SAS!$B$48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SAS!$B$49:$B$55</c:f>
              <c:numCache/>
            </c:numRef>
          </c:val>
        </c:ser>
        <c:axId val="6579754"/>
        <c:axId val="59217787"/>
      </c:bar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9217787"/>
        <c:crosses val="autoZero"/>
        <c:auto val="1"/>
        <c:lblOffset val="100"/>
        <c:noMultiLvlLbl val="0"/>
      </c:catAx>
      <c:valAx>
        <c:axId val="59217787"/>
        <c:scaling>
          <c:orientation val="minMax"/>
          <c:max val="62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6579754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4325"/>
          <c:w val="0.484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998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63198036"/>
        <c:axId val="31911413"/>
      </c:bar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  <c:max val="6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63198036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4375"/>
          <c:w val="0.515"/>
          <c:h val="0.047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95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3B"/>
                  </a:gs>
                  <a:gs pos="5000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4687631"/>
        <c:crosses val="autoZero"/>
        <c:auto val="1"/>
        <c:lblOffset val="100"/>
        <c:noMultiLvlLbl val="0"/>
      </c:catAx>
      <c:valAx>
        <c:axId val="34687631"/>
        <c:scaling>
          <c:orientation val="minMax"/>
          <c:max val="6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/>
            </a:pPr>
          </a:p>
        </c:txPr>
        <c:crossAx val="1876726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25"/>
          <c:y val="0.9405"/>
          <c:w val="0.4117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6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43753224"/>
        <c:axId val="58234697"/>
      </c:bar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  <c:max val="8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43753224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375"/>
          <c:w val="0.49475"/>
          <c:h val="0.056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54350226"/>
        <c:axId val="19389987"/>
      </c:bar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  <c:max val="27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5435022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335"/>
          <c:w val="0.6185"/>
          <c:h val="0.055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12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40292156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37"/>
          <c:w val="0.510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419225" y="3276600"/>
        <a:ext cx="6781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57150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943100" y="4210050"/>
        <a:ext cx="6810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19050</xdr:rowOff>
    </xdr:from>
    <xdr:to>
      <xdr:col>13</xdr:col>
      <xdr:colOff>409575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81225" y="3067050"/>
        <a:ext cx="6791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753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104775</xdr:rowOff>
    </xdr:from>
    <xdr:to>
      <xdr:col>13</xdr:col>
      <xdr:colOff>276225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95400" y="3810000"/>
        <a:ext cx="7658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161925</xdr:rowOff>
    </xdr:from>
    <xdr:to>
      <xdr:col>13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1257300" y="3619500"/>
        <a:ext cx="6953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142875</xdr:rowOff>
    </xdr:from>
    <xdr:to>
      <xdr:col>12</xdr:col>
      <xdr:colOff>371475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676400" y="3429000"/>
        <a:ext cx="68484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104775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38275" y="3057525"/>
        <a:ext cx="67246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0</xdr:rowOff>
    </xdr:from>
    <xdr:to>
      <xdr:col>12</xdr:col>
      <xdr:colOff>504825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619250" y="3352800"/>
        <a:ext cx="69342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13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33575" y="3133725"/>
        <a:ext cx="6496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247775" y="3200400"/>
        <a:ext cx="5676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66875" y="3152775"/>
        <a:ext cx="6972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0.7109375" style="1" customWidth="1"/>
    <col min="4" max="4" width="7.57421875" style="1" customWidth="1"/>
    <col min="5" max="5" width="10.140625" style="1" customWidth="1"/>
    <col min="6" max="6" width="8.28125" style="1" customWidth="1"/>
    <col min="7" max="7" width="10.7109375" style="1" customWidth="1"/>
    <col min="8" max="8" width="7.7109375" style="1" customWidth="1"/>
    <col min="9" max="9" width="10.140625" style="1" customWidth="1"/>
    <col min="10" max="10" width="7.00390625" style="1" customWidth="1"/>
    <col min="11" max="11" width="9.421875" style="1" customWidth="1"/>
    <col min="12" max="12" width="7.140625" style="1" customWidth="1"/>
    <col min="13" max="13" width="10.00390625" style="1" customWidth="1"/>
    <col min="14" max="14" width="9.42187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105</v>
      </c>
      <c r="C2" s="164"/>
      <c r="D2" s="165"/>
      <c r="E2" s="165"/>
      <c r="L2" s="163" t="s">
        <v>24</v>
      </c>
      <c r="M2" s="163"/>
      <c r="N2" s="158">
        <v>40269</v>
      </c>
      <c r="O2" s="23"/>
    </row>
    <row r="3" spans="2:5" ht="16.5">
      <c r="B3" s="166"/>
      <c r="C3" s="166"/>
      <c r="E3" s="22"/>
    </row>
    <row r="4" spans="3:5" ht="17.25" thickBot="1">
      <c r="C4" s="24"/>
      <c r="D4" s="24"/>
      <c r="E4" s="22"/>
    </row>
    <row r="5" spans="1:17" ht="18" thickTop="1">
      <c r="A5" s="104"/>
      <c r="B5" s="167" t="s">
        <v>1</v>
      </c>
      <c r="C5" s="168"/>
      <c r="D5" s="167" t="s">
        <v>2</v>
      </c>
      <c r="E5" s="168"/>
      <c r="F5" s="167" t="s">
        <v>3</v>
      </c>
      <c r="G5" s="168"/>
      <c r="H5" s="167" t="s">
        <v>4</v>
      </c>
      <c r="I5" s="168"/>
      <c r="J5" s="167" t="s">
        <v>33</v>
      </c>
      <c r="K5" s="168"/>
      <c r="L5" s="105" t="s">
        <v>88</v>
      </c>
      <c r="M5" s="106"/>
      <c r="N5" s="167" t="s">
        <v>34</v>
      </c>
      <c r="O5" s="168"/>
      <c r="P5" s="107" t="s">
        <v>5</v>
      </c>
      <c r="Q5" s="118" t="s">
        <v>39</v>
      </c>
    </row>
    <row r="6" spans="1:17" ht="17.25">
      <c r="A6" s="108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4" t="s">
        <v>26</v>
      </c>
      <c r="Q6" s="119" t="s">
        <v>40</v>
      </c>
    </row>
    <row r="7" spans="1:18" ht="17.25">
      <c r="A7" s="109" t="s">
        <v>15</v>
      </c>
      <c r="B7" s="32">
        <v>475111</v>
      </c>
      <c r="C7" s="33">
        <f>4550.37+455225.83-C9-C11</f>
        <v>182293.47</v>
      </c>
      <c r="D7" s="32">
        <v>53000</v>
      </c>
      <c r="E7" s="33">
        <f>8180.07+10022.78-E9-E11</f>
        <v>6805.939999999999</v>
      </c>
      <c r="F7" s="32">
        <v>416564</v>
      </c>
      <c r="G7" s="33">
        <f>84491.38+367728.29-G9-G11</f>
        <v>298734</v>
      </c>
      <c r="H7" s="32">
        <v>531166</v>
      </c>
      <c r="I7" s="33">
        <f>48590.62+231456.32-I9-I11</f>
        <v>207199.93000000002</v>
      </c>
      <c r="J7" s="32">
        <v>0</v>
      </c>
      <c r="K7" s="33">
        <f>1255.74+51113.31-K9-K11</f>
        <v>51113.31</v>
      </c>
      <c r="L7" s="32">
        <v>0</v>
      </c>
      <c r="M7" s="33">
        <f>10706.96-M11</f>
        <v>306.9599999999991</v>
      </c>
      <c r="N7" s="32">
        <v>150000</v>
      </c>
      <c r="O7" s="33">
        <f>113630.34-O9-O11</f>
        <v>74042.78</v>
      </c>
      <c r="P7" s="110">
        <f>+O7+K7+I7+G7+E7+C7+M7</f>
        <v>820496.3899999999</v>
      </c>
      <c r="Q7" s="140">
        <f>+B7+D7+F7+H7+J7+N7+L7-P7</f>
        <v>805344.6100000001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41"/>
    </row>
    <row r="9" spans="1:17" ht="17.25">
      <c r="A9" s="109" t="s">
        <v>101</v>
      </c>
      <c r="B9" s="32">
        <v>124269</v>
      </c>
      <c r="C9" s="33">
        <f>1037.23+42995.6</f>
        <v>44032.83</v>
      </c>
      <c r="D9" s="32">
        <v>24300</v>
      </c>
      <c r="E9" s="33">
        <f>1307.4+402.6</f>
        <v>1710</v>
      </c>
      <c r="F9" s="32">
        <v>62400</v>
      </c>
      <c r="G9" s="33">
        <f>284.77+9233.29</f>
        <v>9518.060000000001</v>
      </c>
      <c r="H9" s="32">
        <v>194785</v>
      </c>
      <c r="I9" s="33">
        <f>10255.29+48490.32</f>
        <v>58745.61</v>
      </c>
      <c r="J9" s="32">
        <v>0</v>
      </c>
      <c r="K9" s="33">
        <v>287.06</v>
      </c>
      <c r="L9" s="32">
        <v>0</v>
      </c>
      <c r="M9" s="33">
        <v>0</v>
      </c>
      <c r="N9" s="35">
        <v>0</v>
      </c>
      <c r="O9" s="33">
        <v>11180.33</v>
      </c>
      <c r="P9" s="110">
        <f>+O9+K9+I9+G9+E9+C9</f>
        <v>125473.89</v>
      </c>
      <c r="Q9" s="141">
        <f>+B9+D9+F9+H9+J9+N9-P9</f>
        <v>280280.11</v>
      </c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41"/>
    </row>
    <row r="11" spans="1:17" ht="17.25">
      <c r="A11" s="109" t="s">
        <v>100</v>
      </c>
      <c r="B11" s="32">
        <v>679098</v>
      </c>
      <c r="C11" s="33">
        <f>1834.38+231615.52</f>
        <v>233449.9</v>
      </c>
      <c r="D11" s="32">
        <v>15510</v>
      </c>
      <c r="E11" s="33">
        <f>5459.04+4227.87</f>
        <v>9686.91</v>
      </c>
      <c r="F11" s="32">
        <v>198985</v>
      </c>
      <c r="G11" s="33">
        <f>32515.9+111451.71</f>
        <v>143967.61000000002</v>
      </c>
      <c r="H11" s="32">
        <v>89447</v>
      </c>
      <c r="I11" s="33">
        <f>4300+9801.4</f>
        <v>14101.4</v>
      </c>
      <c r="J11" s="32">
        <v>0</v>
      </c>
      <c r="K11" s="33">
        <v>968.68</v>
      </c>
      <c r="L11" s="32">
        <v>0</v>
      </c>
      <c r="M11" s="37">
        <v>10400</v>
      </c>
      <c r="N11" s="32">
        <v>0</v>
      </c>
      <c r="O11" s="33">
        <v>28407.23</v>
      </c>
      <c r="P11" s="110">
        <f>+O11+K11+I11+G11+E11+C11+M11</f>
        <v>440981.73</v>
      </c>
      <c r="Q11" s="141">
        <f>+B11+D11+F11+H11+J11+N11-P11+L11</f>
        <v>542058.27</v>
      </c>
    </row>
    <row r="12" spans="1:17" ht="18" thickBot="1">
      <c r="A12" s="120" t="s">
        <v>11</v>
      </c>
      <c r="B12" s="115">
        <f aca="true" t="shared" si="0" ref="B12:K12">SUM(B7:B11)</f>
        <v>1278478</v>
      </c>
      <c r="C12" s="116">
        <f>SUM(C7:C11)</f>
        <v>459776.19999999995</v>
      </c>
      <c r="D12" s="115">
        <f t="shared" si="0"/>
        <v>92810</v>
      </c>
      <c r="E12" s="116">
        <f t="shared" si="0"/>
        <v>18202.85</v>
      </c>
      <c r="F12" s="115">
        <f t="shared" si="0"/>
        <v>677949</v>
      </c>
      <c r="G12" s="116">
        <f t="shared" si="0"/>
        <v>452219.67000000004</v>
      </c>
      <c r="H12" s="115">
        <f t="shared" si="0"/>
        <v>815398</v>
      </c>
      <c r="I12" s="116">
        <f t="shared" si="0"/>
        <v>280046.94000000006</v>
      </c>
      <c r="J12" s="115">
        <f t="shared" si="0"/>
        <v>0</v>
      </c>
      <c r="K12" s="116">
        <f t="shared" si="0"/>
        <v>52369.049999999996</v>
      </c>
      <c r="L12" s="115">
        <f aca="true" t="shared" si="1" ref="L12:Q12">SUM(L7:L11)</f>
        <v>0</v>
      </c>
      <c r="M12" s="117">
        <f t="shared" si="1"/>
        <v>10706.96</v>
      </c>
      <c r="N12" s="115">
        <f t="shared" si="1"/>
        <v>150000</v>
      </c>
      <c r="O12" s="116">
        <f t="shared" si="1"/>
        <v>113630.34</v>
      </c>
      <c r="P12" s="111">
        <f t="shared" si="1"/>
        <v>1386952.0099999998</v>
      </c>
      <c r="Q12" s="142">
        <f t="shared" si="1"/>
        <v>1627682.9900000002</v>
      </c>
    </row>
    <row r="13" spans="1:17" ht="18.75" thickBot="1" thickTop="1">
      <c r="A13" s="121" t="s">
        <v>31</v>
      </c>
      <c r="B13" s="112"/>
      <c r="C13" s="148">
        <f>+C12/B12</f>
        <v>0.3596277761525814</v>
      </c>
      <c r="D13" s="113"/>
      <c r="E13" s="148">
        <f>+E12/D12</f>
        <v>0.19613026613511472</v>
      </c>
      <c r="F13" s="113"/>
      <c r="G13" s="148">
        <f>+G12/F12</f>
        <v>0.6670408393551728</v>
      </c>
      <c r="H13" s="113"/>
      <c r="I13" s="148">
        <f>+I12/H12</f>
        <v>0.34344815660573125</v>
      </c>
      <c r="J13" s="113"/>
      <c r="K13" s="146"/>
      <c r="L13" s="147"/>
      <c r="M13" s="149"/>
      <c r="N13" s="114"/>
      <c r="O13" s="150">
        <f>+O12/N12</f>
        <v>0.7575356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86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27</v>
      </c>
      <c r="B46" s="54" t="s">
        <v>28</v>
      </c>
      <c r="C46" s="21" t="s">
        <v>29</v>
      </c>
    </row>
    <row r="47" spans="1:3" ht="17.25">
      <c r="A47" s="55">
        <f>+B12</f>
        <v>1278478</v>
      </c>
      <c r="B47" s="52">
        <f>+C12</f>
        <v>459776.19999999995</v>
      </c>
      <c r="C47" s="21" t="s">
        <v>1</v>
      </c>
    </row>
    <row r="48" spans="1:3" ht="17.25">
      <c r="A48" s="55">
        <f>+D12</f>
        <v>92810</v>
      </c>
      <c r="B48" s="52">
        <f>+E12</f>
        <v>18202.85</v>
      </c>
      <c r="C48" s="21" t="s">
        <v>2</v>
      </c>
    </row>
    <row r="49" spans="1:3" ht="17.25">
      <c r="A49" s="55">
        <f>+F12</f>
        <v>677949</v>
      </c>
      <c r="B49" s="52">
        <f>+G12</f>
        <v>452219.67000000004</v>
      </c>
      <c r="C49" s="21" t="s">
        <v>3</v>
      </c>
    </row>
    <row r="50" spans="1:3" ht="17.25">
      <c r="A50" s="55">
        <f>+H12</f>
        <v>815398</v>
      </c>
      <c r="B50" s="52">
        <f>+I12</f>
        <v>280046.94000000006</v>
      </c>
      <c r="C50" s="21" t="s">
        <v>35</v>
      </c>
    </row>
    <row r="51" spans="1:3" ht="17.25">
      <c r="A51" s="55">
        <f>+J12</f>
        <v>0</v>
      </c>
      <c r="B51" s="52">
        <f>+K12</f>
        <v>52369.049999999996</v>
      </c>
      <c r="C51" s="21" t="s">
        <v>33</v>
      </c>
    </row>
    <row r="52" spans="1:3" ht="17.25">
      <c r="A52" s="55">
        <f>+L12</f>
        <v>0</v>
      </c>
      <c r="B52" s="52">
        <f>+M12</f>
        <v>10706.96</v>
      </c>
      <c r="C52" s="21" t="s">
        <v>97</v>
      </c>
    </row>
    <row r="53" spans="1:3" ht="17.25">
      <c r="A53" s="55">
        <f>+N12</f>
        <v>150000</v>
      </c>
      <c r="B53" s="52">
        <f>+O12</f>
        <v>113630.34</v>
      </c>
      <c r="C53" s="21" t="s">
        <v>36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1"/>
  <sheetViews>
    <sheetView workbookViewId="0" topLeftCell="H10">
      <selection activeCell="P19" sqref="P19"/>
    </sheetView>
  </sheetViews>
  <sheetFormatPr defaultColWidth="11.421875" defaultRowHeight="15"/>
  <cols>
    <col min="1" max="1" width="19.57421875" style="1" customWidth="1"/>
    <col min="2" max="2" width="9.28125" style="1" customWidth="1"/>
    <col min="3" max="3" width="10.28125" style="1" customWidth="1"/>
    <col min="4" max="4" width="7.140625" style="1" customWidth="1"/>
    <col min="5" max="5" width="9.7109375" style="1" customWidth="1"/>
    <col min="6" max="6" width="8.28125" style="1" customWidth="1"/>
    <col min="7" max="7" width="10.140625" style="1" customWidth="1"/>
    <col min="8" max="8" width="6.421875" style="1" customWidth="1"/>
    <col min="9" max="9" width="10.8515625" style="1" customWidth="1"/>
    <col min="10" max="10" width="6.8515625" style="1" customWidth="1"/>
    <col min="11" max="11" width="9.7109375" style="1" customWidth="1"/>
    <col min="12" max="12" width="6.8515625" style="1" customWidth="1"/>
    <col min="13" max="13" width="10.00390625" style="1" customWidth="1"/>
    <col min="14" max="14" width="7.140625" style="1" customWidth="1"/>
    <col min="15" max="15" width="9.28125" style="1" customWidth="1"/>
    <col min="16" max="16" width="12.57421875" style="1" customWidth="1"/>
    <col min="17" max="17" width="12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123</v>
      </c>
      <c r="C2" s="179"/>
      <c r="D2" s="179"/>
      <c r="E2" s="180"/>
      <c r="F2" s="180"/>
      <c r="K2" s="181" t="s">
        <v>24</v>
      </c>
      <c r="L2" s="181"/>
      <c r="M2" s="158">
        <v>40269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128</v>
      </c>
      <c r="B7" s="32">
        <v>1172185</v>
      </c>
      <c r="C7" s="33">
        <f>64385.08+260366.41+9873.04+45130.11</f>
        <v>379754.63999999996</v>
      </c>
      <c r="D7" s="32">
        <v>15182</v>
      </c>
      <c r="E7" s="33">
        <f>2232.14+3467.65+279.2</f>
        <v>5978.99</v>
      </c>
      <c r="F7" s="32">
        <v>322819</v>
      </c>
      <c r="G7" s="33">
        <f>464+74520.25+120610.11+1565+31900.15</f>
        <v>229059.50999999998</v>
      </c>
      <c r="H7" s="32">
        <v>20000</v>
      </c>
      <c r="I7" s="33">
        <f>7375.51+68490.39+3600+51362.29</f>
        <v>130828.19</v>
      </c>
      <c r="J7" s="32">
        <v>0</v>
      </c>
      <c r="K7" s="33">
        <v>131</v>
      </c>
      <c r="L7" s="32">
        <v>0</v>
      </c>
      <c r="M7" s="37">
        <f>1700+1572.52+25651.27</f>
        <v>28923.79</v>
      </c>
      <c r="N7" s="32">
        <v>80000</v>
      </c>
      <c r="O7" s="33">
        <f>61547.43+873.95</f>
        <v>62421.38</v>
      </c>
      <c r="P7" s="34">
        <f>+C7+E7+G7+I7+K7+O7+M7</f>
        <v>837097.4999999999</v>
      </c>
      <c r="Q7" s="34">
        <f>+B7+D7+F7+H7+J7+N7+L7-P7</f>
        <v>773088.5000000001</v>
      </c>
      <c r="R7" s="5"/>
    </row>
    <row r="8" spans="1:18" ht="17.25">
      <c r="A8" s="31" t="s">
        <v>94</v>
      </c>
      <c r="B8" s="32">
        <v>21472</v>
      </c>
      <c r="C8" s="33">
        <f>1663.97+4672.32</f>
        <v>6336.29</v>
      </c>
      <c r="D8" s="32">
        <v>1400</v>
      </c>
      <c r="E8" s="33">
        <v>3846.8</v>
      </c>
      <c r="F8" s="32">
        <v>7370</v>
      </c>
      <c r="G8" s="33">
        <f>76.67+1925.42</f>
        <v>2002.0900000000001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0</v>
      </c>
      <c r="P8" s="34">
        <f aca="true" t="shared" si="0" ref="P8:P15">+C8+E8+G8+I8+K8+O8</f>
        <v>12185.18</v>
      </c>
      <c r="Q8" s="34">
        <f aca="true" t="shared" si="1" ref="Q8:Q15">+B8+D8+F8+H8+J8+N8-P8</f>
        <v>18056.82</v>
      </c>
      <c r="R8" s="5"/>
    </row>
    <row r="9" spans="1:18" ht="17.25">
      <c r="A9" s="31" t="s">
        <v>93</v>
      </c>
      <c r="B9" s="32">
        <v>227241</v>
      </c>
      <c r="C9" s="33">
        <f>20066.12+60437.73</f>
        <v>80503.85</v>
      </c>
      <c r="D9" s="32">
        <v>18971</v>
      </c>
      <c r="E9" s="33">
        <f>5250.6+764.5</f>
        <v>6015.1</v>
      </c>
      <c r="F9" s="32">
        <v>190000</v>
      </c>
      <c r="G9" s="33">
        <f>13403.82+23606.1</f>
        <v>37009.92</v>
      </c>
      <c r="H9" s="32">
        <v>0</v>
      </c>
      <c r="I9" s="33">
        <v>0</v>
      </c>
      <c r="J9" s="32">
        <v>15150</v>
      </c>
      <c r="K9" s="33">
        <v>0</v>
      </c>
      <c r="L9" s="32">
        <v>0</v>
      </c>
      <c r="M9" s="37">
        <v>0</v>
      </c>
      <c r="N9" s="32">
        <v>0</v>
      </c>
      <c r="O9" s="33">
        <v>3176.27</v>
      </c>
      <c r="P9" s="34">
        <f t="shared" si="0"/>
        <v>126705.14000000001</v>
      </c>
      <c r="Q9" s="34">
        <f t="shared" si="1"/>
        <v>324656.86</v>
      </c>
      <c r="R9" s="5"/>
    </row>
    <row r="10" spans="1:18" ht="17.25">
      <c r="A10" s="31" t="s">
        <v>134</v>
      </c>
      <c r="B10" s="32">
        <v>39252</v>
      </c>
      <c r="C10" s="33">
        <f>3283.39+7133.02</f>
        <v>10416.41</v>
      </c>
      <c r="D10" s="32">
        <v>700</v>
      </c>
      <c r="E10" s="33">
        <v>0</v>
      </c>
      <c r="F10" s="32">
        <v>31930</v>
      </c>
      <c r="G10" s="33">
        <v>593.42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 t="shared" si="0"/>
        <v>11009.83</v>
      </c>
      <c r="Q10" s="34">
        <f t="shared" si="1"/>
        <v>60872.17</v>
      </c>
      <c r="R10" s="5"/>
    </row>
    <row r="11" spans="1:18" ht="17.25">
      <c r="A11" s="31" t="s">
        <v>135</v>
      </c>
      <c r="B11" s="32">
        <v>65332</v>
      </c>
      <c r="C11" s="33">
        <f>5645.96+16384.61</f>
        <v>22030.57</v>
      </c>
      <c r="D11" s="32">
        <v>4700</v>
      </c>
      <c r="E11" s="33">
        <f>1762.3+345.6</f>
        <v>2107.9</v>
      </c>
      <c r="F11" s="32">
        <v>93400</v>
      </c>
      <c r="G11" s="33">
        <f>4213.47+8419.27</f>
        <v>12632.740000000002</v>
      </c>
      <c r="H11" s="32">
        <v>0</v>
      </c>
      <c r="I11" s="33">
        <v>0</v>
      </c>
      <c r="J11" s="32">
        <v>0</v>
      </c>
      <c r="K11" s="33">
        <v>150</v>
      </c>
      <c r="L11" s="32">
        <v>0</v>
      </c>
      <c r="M11" s="37">
        <v>0</v>
      </c>
      <c r="N11" s="32">
        <v>0</v>
      </c>
      <c r="O11" s="33">
        <v>0</v>
      </c>
      <c r="P11" s="34">
        <f t="shared" si="0"/>
        <v>36921.21000000001</v>
      </c>
      <c r="Q11" s="34">
        <f t="shared" si="1"/>
        <v>126510.79</v>
      </c>
      <c r="R11" s="5"/>
    </row>
    <row r="12" spans="1:18" ht="17.25">
      <c r="A12" s="31" t="s">
        <v>136</v>
      </c>
      <c r="B12" s="32">
        <v>0</v>
      </c>
      <c r="C12" s="33">
        <v>0</v>
      </c>
      <c r="D12" s="32">
        <v>0</v>
      </c>
      <c r="E12" s="33">
        <v>0</v>
      </c>
      <c r="F12" s="32">
        <v>0</v>
      </c>
      <c r="G12" s="33">
        <v>1746.84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0</v>
      </c>
      <c r="P12" s="34">
        <f t="shared" si="0"/>
        <v>1746.84</v>
      </c>
      <c r="Q12" s="34">
        <f t="shared" si="1"/>
        <v>-1746.84</v>
      </c>
      <c r="R12" s="5"/>
    </row>
    <row r="13" spans="1:18" ht="17.25">
      <c r="A13" s="31" t="s">
        <v>137</v>
      </c>
      <c r="B13" s="32">
        <v>201536</v>
      </c>
      <c r="C13" s="33">
        <f>11559.37+30729.81</f>
        <v>42289.18</v>
      </c>
      <c r="D13" s="32">
        <v>0</v>
      </c>
      <c r="E13" s="33">
        <v>0</v>
      </c>
      <c r="F13" s="32">
        <v>0</v>
      </c>
      <c r="G13" s="33">
        <v>269.32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1908.66</v>
      </c>
      <c r="P13" s="34">
        <f t="shared" si="0"/>
        <v>44467.16</v>
      </c>
      <c r="Q13" s="34">
        <f t="shared" si="1"/>
        <v>157068.84</v>
      </c>
      <c r="R13" s="5"/>
    </row>
    <row r="14" spans="1:18" ht="17.25">
      <c r="A14" s="31" t="s">
        <v>138</v>
      </c>
      <c r="B14" s="32">
        <v>118474</v>
      </c>
      <c r="C14" s="33">
        <f>7772.62+25509.94</f>
        <v>33282.56</v>
      </c>
      <c r="D14" s="32">
        <v>0</v>
      </c>
      <c r="E14" s="33">
        <v>0</v>
      </c>
      <c r="F14" s="32">
        <v>12000</v>
      </c>
      <c r="G14" s="33">
        <v>923.42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1770.21</v>
      </c>
      <c r="P14" s="34">
        <f t="shared" si="0"/>
        <v>35976.189999999995</v>
      </c>
      <c r="Q14" s="34">
        <f t="shared" si="1"/>
        <v>94497.81</v>
      </c>
      <c r="R14" s="5"/>
    </row>
    <row r="15" spans="1:18" ht="17.25">
      <c r="A15" s="31" t="s">
        <v>139</v>
      </c>
      <c r="B15" s="32">
        <v>0</v>
      </c>
      <c r="C15" s="33">
        <v>0</v>
      </c>
      <c r="D15" s="32">
        <v>3500</v>
      </c>
      <c r="E15" s="33">
        <v>0</v>
      </c>
      <c r="F15" s="32">
        <v>27800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0</v>
      </c>
      <c r="P15" s="34">
        <f t="shared" si="0"/>
        <v>0</v>
      </c>
      <c r="Q15" s="34">
        <f t="shared" si="1"/>
        <v>31300</v>
      </c>
      <c r="R15" s="5"/>
    </row>
    <row r="16" spans="1:18" ht="17.25">
      <c r="A16" s="31" t="s">
        <v>129</v>
      </c>
      <c r="B16" s="32">
        <v>0</v>
      </c>
      <c r="C16" s="33">
        <f>2701.78+8514.36</f>
        <v>11216.140000000001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7">
        <v>0</v>
      </c>
      <c r="N16" s="32">
        <v>0</v>
      </c>
      <c r="O16" s="33">
        <v>0</v>
      </c>
      <c r="P16" s="34">
        <f>+C16+E16+G16+I16+K16+O16</f>
        <v>11216.140000000001</v>
      </c>
      <c r="Q16" s="34">
        <f>+B16+D16+F16+H16+J16+N16-P16</f>
        <v>-11216.140000000001</v>
      </c>
      <c r="R16" s="5"/>
    </row>
    <row r="17" spans="1:18" ht="18" thickBot="1">
      <c r="A17" s="38" t="s">
        <v>11</v>
      </c>
      <c r="B17" s="39">
        <f aca="true" t="shared" si="2" ref="B17:Q17">SUM(B7:B16)</f>
        <v>1845492</v>
      </c>
      <c r="C17" s="40">
        <f t="shared" si="2"/>
        <v>585829.64</v>
      </c>
      <c r="D17" s="39">
        <f t="shared" si="2"/>
        <v>44453</v>
      </c>
      <c r="E17" s="40">
        <f t="shared" si="2"/>
        <v>17948.79</v>
      </c>
      <c r="F17" s="39">
        <f t="shared" si="2"/>
        <v>685319</v>
      </c>
      <c r="G17" s="40">
        <f t="shared" si="2"/>
        <v>284237.25999999995</v>
      </c>
      <c r="H17" s="39">
        <f t="shared" si="2"/>
        <v>20000</v>
      </c>
      <c r="I17" s="40">
        <f t="shared" si="2"/>
        <v>130828.19</v>
      </c>
      <c r="J17" s="39">
        <f t="shared" si="2"/>
        <v>15150</v>
      </c>
      <c r="K17" s="40">
        <f t="shared" si="2"/>
        <v>281</v>
      </c>
      <c r="L17" s="39">
        <f t="shared" si="2"/>
        <v>0</v>
      </c>
      <c r="M17" s="40">
        <f t="shared" si="2"/>
        <v>28923.79</v>
      </c>
      <c r="N17" s="39">
        <f t="shared" si="2"/>
        <v>80000</v>
      </c>
      <c r="O17" s="40">
        <f t="shared" si="2"/>
        <v>69276.52</v>
      </c>
      <c r="P17" s="42">
        <f t="shared" si="2"/>
        <v>1117325.1899999997</v>
      </c>
      <c r="Q17" s="42">
        <f t="shared" si="2"/>
        <v>1573088.8100000003</v>
      </c>
      <c r="R17" s="5"/>
    </row>
    <row r="18" spans="1:17" ht="17.25" thickBot="1">
      <c r="A18" s="43" t="s">
        <v>31</v>
      </c>
      <c r="B18" s="44"/>
      <c r="C18" s="143">
        <f>+C17/B17</f>
        <v>0.31743818992442124</v>
      </c>
      <c r="D18" s="143"/>
      <c r="E18" s="143">
        <f>+E17/D17</f>
        <v>0.4037700492655164</v>
      </c>
      <c r="F18" s="143"/>
      <c r="G18" s="143">
        <f>+G17/F17</f>
        <v>0.4147517579404627</v>
      </c>
      <c r="H18" s="143"/>
      <c r="I18" s="143">
        <f>+I17/H17</f>
        <v>6.5414095</v>
      </c>
      <c r="J18" s="143"/>
      <c r="K18" s="143">
        <f>+K17/J17</f>
        <v>0.01854785478547855</v>
      </c>
      <c r="L18" s="152"/>
      <c r="M18" s="143"/>
      <c r="N18" s="157"/>
      <c r="O18" s="145">
        <f>+O17/N17</f>
        <v>0.8659565</v>
      </c>
      <c r="P18" s="58"/>
      <c r="Q18" s="5"/>
    </row>
    <row r="19" spans="1:17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"/>
    </row>
    <row r="20" spans="1:16" ht="16.5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37" spans="5:8" ht="16.5">
      <c r="E37" s="59"/>
      <c r="F37" s="59"/>
      <c r="G37" s="60"/>
      <c r="H37" s="60"/>
    </row>
    <row r="38" spans="5:8" ht="16.5">
      <c r="E38" s="61"/>
      <c r="F38" s="61"/>
      <c r="G38" s="61"/>
      <c r="H38" s="61"/>
    </row>
    <row r="43" spans="1:6" ht="16.5">
      <c r="A43" s="53"/>
      <c r="B43" s="53"/>
      <c r="C43" s="53"/>
      <c r="D43" s="53"/>
      <c r="E43" s="53"/>
      <c r="F43" s="53"/>
    </row>
    <row r="44" ht="16.5">
      <c r="C44" s="48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spans="3:6" ht="16.5">
      <c r="C50" s="52"/>
      <c r="D50" s="5"/>
      <c r="E50" s="53"/>
      <c r="F50" s="53"/>
    </row>
    <row r="52" spans="1:5" ht="16.5">
      <c r="A52" s="62" t="s">
        <v>27</v>
      </c>
      <c r="B52" s="62" t="s">
        <v>28</v>
      </c>
      <c r="C52" s="62" t="s">
        <v>29</v>
      </c>
      <c r="D52" s="62"/>
      <c r="E52" s="63"/>
    </row>
    <row r="53" spans="1:3" ht="17.25">
      <c r="A53" s="64">
        <f>+B17</f>
        <v>1845492</v>
      </c>
      <c r="B53" s="65">
        <f>+C17</f>
        <v>585829.64</v>
      </c>
      <c r="C53" s="62" t="s">
        <v>1</v>
      </c>
    </row>
    <row r="54" spans="1:3" ht="17.25">
      <c r="A54" s="64">
        <f>+D17</f>
        <v>44453</v>
      </c>
      <c r="B54" s="65">
        <f>+E17</f>
        <v>17948.79</v>
      </c>
      <c r="C54" s="62" t="s">
        <v>2</v>
      </c>
    </row>
    <row r="55" spans="1:3" ht="17.25">
      <c r="A55" s="64">
        <f>+F17</f>
        <v>685319</v>
      </c>
      <c r="B55" s="65">
        <f>+G17</f>
        <v>284237.25999999995</v>
      </c>
      <c r="C55" s="62" t="s">
        <v>3</v>
      </c>
    </row>
    <row r="56" spans="1:3" ht="17.25">
      <c r="A56" s="64">
        <f>+H17</f>
        <v>20000</v>
      </c>
      <c r="B56" s="65">
        <f>+I17</f>
        <v>130828.19</v>
      </c>
      <c r="C56" s="62" t="s">
        <v>35</v>
      </c>
    </row>
    <row r="57" spans="1:3" ht="17.25">
      <c r="A57" s="64">
        <f>+J17</f>
        <v>15150</v>
      </c>
      <c r="B57" s="65">
        <f>+K17</f>
        <v>281</v>
      </c>
      <c r="C57" s="62" t="s">
        <v>33</v>
      </c>
    </row>
    <row r="58" spans="1:3" ht="17.25">
      <c r="A58" s="66">
        <f>+L17</f>
        <v>0</v>
      </c>
      <c r="B58" s="65">
        <f>+M17</f>
        <v>28923.79</v>
      </c>
      <c r="C58" s="62" t="s">
        <v>102</v>
      </c>
    </row>
    <row r="59" spans="1:3" ht="17.25">
      <c r="A59" s="64">
        <f>+N17</f>
        <v>80000</v>
      </c>
      <c r="B59" s="65">
        <f>+O17</f>
        <v>69276.52</v>
      </c>
      <c r="C59" s="62" t="s">
        <v>36</v>
      </c>
    </row>
    <row r="60" spans="1:3" ht="17.25">
      <c r="A60" s="64"/>
      <c r="B60" s="64"/>
      <c r="C60" s="62"/>
    </row>
    <row r="61" spans="1:2" ht="16.5">
      <c r="A61" s="1">
        <v>2809993</v>
      </c>
      <c r="B61" s="5">
        <v>749308.3</v>
      </c>
    </row>
  </sheetData>
  <mergeCells count="10">
    <mergeCell ref="B2:F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46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H1">
      <selection activeCell="P13" sqref="P13"/>
    </sheetView>
  </sheetViews>
  <sheetFormatPr defaultColWidth="11.421875" defaultRowHeight="15"/>
  <cols>
    <col min="1" max="1" width="23.28125" style="1" customWidth="1"/>
    <col min="2" max="2" width="9.28125" style="1" customWidth="1"/>
    <col min="3" max="3" width="10.140625" style="1" customWidth="1"/>
    <col min="4" max="4" width="6.8515625" style="1" customWidth="1"/>
    <col min="5" max="5" width="9.28125" style="1" customWidth="1"/>
    <col min="6" max="6" width="7.57421875" style="1" customWidth="1"/>
    <col min="7" max="7" width="11.140625" style="1" customWidth="1"/>
    <col min="8" max="8" width="7.421875" style="1" customWidth="1"/>
    <col min="9" max="9" width="10.421875" style="1" customWidth="1"/>
    <col min="10" max="10" width="6.8515625" style="1" customWidth="1"/>
    <col min="11" max="11" width="9.28125" style="1" customWidth="1"/>
    <col min="12" max="12" width="7.28125" style="1" customWidth="1"/>
    <col min="13" max="13" width="9.57421875" style="1" customWidth="1"/>
    <col min="14" max="14" width="6.57421875" style="1" customWidth="1"/>
    <col min="15" max="15" width="9.28125" style="1" customWidth="1"/>
    <col min="16" max="17" width="12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124</v>
      </c>
      <c r="C2" s="179"/>
      <c r="D2" s="179"/>
      <c r="E2" s="180"/>
      <c r="F2" s="180"/>
      <c r="K2" s="182" t="s">
        <v>24</v>
      </c>
      <c r="L2" s="162"/>
      <c r="M2" s="158">
        <v>40269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130</v>
      </c>
      <c r="B7" s="32">
        <v>975896</v>
      </c>
      <c r="C7" s="33">
        <f>68933.36+256904.02+2431.59+5595.06</f>
        <v>333864.03</v>
      </c>
      <c r="D7" s="32">
        <v>34006</v>
      </c>
      <c r="E7" s="33">
        <f>4559.2+1618.16+3292.75</f>
        <v>9470.11</v>
      </c>
      <c r="F7" s="32">
        <v>682296</v>
      </c>
      <c r="G7" s="33">
        <f>95442.16+155053.03+720+34767.8</f>
        <v>285982.99</v>
      </c>
      <c r="H7" s="32">
        <v>730000</v>
      </c>
      <c r="I7" s="33">
        <f>41729.69+135366.73+4312.85+263583.7</f>
        <v>444992.97000000003</v>
      </c>
      <c r="J7" s="32">
        <v>6000</v>
      </c>
      <c r="K7" s="33">
        <v>0</v>
      </c>
      <c r="L7" s="32">
        <v>8000</v>
      </c>
      <c r="M7" s="37">
        <v>225.02</v>
      </c>
      <c r="N7" s="32">
        <v>35000</v>
      </c>
      <c r="O7" s="33">
        <v>28461.02</v>
      </c>
      <c r="P7" s="34">
        <f>+C7+E7+G7+I7+K7+O7+M7</f>
        <v>1102996.1400000001</v>
      </c>
      <c r="Q7" s="34">
        <f>+B7+D7+F7+H7+J7+N7+L7-P7</f>
        <v>1368201.8599999999</v>
      </c>
      <c r="R7" s="5"/>
    </row>
    <row r="8" spans="1:18" ht="17.25">
      <c r="A8" s="31" t="s">
        <v>131</v>
      </c>
      <c r="B8" s="32">
        <v>132057</v>
      </c>
      <c r="C8" s="33">
        <f>14644.76+32016.57</f>
        <v>46661.33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1579.64</v>
      </c>
      <c r="P8" s="34">
        <f>+C8+E8+G8+I8+K8+O8</f>
        <v>48240.97</v>
      </c>
      <c r="Q8" s="34">
        <f>+B8+D8+F8+H8+J8+N8-P8</f>
        <v>83816.03</v>
      </c>
      <c r="R8" s="5"/>
    </row>
    <row r="9" spans="1:18" ht="17.25">
      <c r="A9" s="31" t="s">
        <v>132</v>
      </c>
      <c r="B9" s="32">
        <v>100595</v>
      </c>
      <c r="C9" s="33">
        <f>7987.48+22019.88</f>
        <v>30007.36</v>
      </c>
      <c r="D9" s="35">
        <v>0</v>
      </c>
      <c r="E9" s="33">
        <v>0</v>
      </c>
      <c r="F9" s="32">
        <v>0</v>
      </c>
      <c r="G9" s="33">
        <v>2162</v>
      </c>
      <c r="H9" s="32">
        <v>0</v>
      </c>
      <c r="I9" s="33">
        <v>0</v>
      </c>
      <c r="J9" s="35">
        <v>0</v>
      </c>
      <c r="K9" s="33">
        <v>0</v>
      </c>
      <c r="L9" s="32">
        <v>0</v>
      </c>
      <c r="M9" s="37">
        <v>0</v>
      </c>
      <c r="N9" s="32">
        <v>0</v>
      </c>
      <c r="O9" s="33">
        <v>0</v>
      </c>
      <c r="P9" s="34">
        <f>+C9+E9+G9+I9+K9+O9</f>
        <v>32169.36</v>
      </c>
      <c r="Q9" s="34">
        <f>+B9+D9+F9+H9+J9+N9-P9</f>
        <v>68425.64</v>
      </c>
      <c r="R9" s="5"/>
    </row>
    <row r="10" spans="1:18" ht="17.25">
      <c r="A10" s="31"/>
      <c r="B10" s="32"/>
      <c r="C10" s="33"/>
      <c r="D10" s="35"/>
      <c r="E10" s="33"/>
      <c r="F10" s="32"/>
      <c r="G10" s="33"/>
      <c r="H10" s="32"/>
      <c r="I10" s="33"/>
      <c r="J10" s="35"/>
      <c r="K10" s="33"/>
      <c r="L10" s="37"/>
      <c r="M10" s="37"/>
      <c r="N10" s="32"/>
      <c r="O10" s="33"/>
      <c r="P10" s="34"/>
      <c r="Q10" s="34"/>
      <c r="R10" s="5"/>
    </row>
    <row r="11" spans="1:18" ht="18" thickBot="1">
      <c r="A11" s="38" t="s">
        <v>11</v>
      </c>
      <c r="B11" s="39">
        <f aca="true" t="shared" si="0" ref="B11:Q11">SUM(B7:B10)</f>
        <v>1208548</v>
      </c>
      <c r="C11" s="40">
        <f t="shared" si="0"/>
        <v>410532.72000000003</v>
      </c>
      <c r="D11" s="39">
        <f t="shared" si="0"/>
        <v>34006</v>
      </c>
      <c r="E11" s="40">
        <f t="shared" si="0"/>
        <v>9470.11</v>
      </c>
      <c r="F11" s="39">
        <f t="shared" si="0"/>
        <v>682296</v>
      </c>
      <c r="G11" s="40">
        <f t="shared" si="0"/>
        <v>288144.99</v>
      </c>
      <c r="H11" s="39">
        <f t="shared" si="0"/>
        <v>730000</v>
      </c>
      <c r="I11" s="40">
        <f t="shared" si="0"/>
        <v>444992.97000000003</v>
      </c>
      <c r="J11" s="39">
        <f t="shared" si="0"/>
        <v>6000</v>
      </c>
      <c r="K11" s="40">
        <f t="shared" si="0"/>
        <v>0</v>
      </c>
      <c r="L11" s="39">
        <f t="shared" si="0"/>
        <v>8000</v>
      </c>
      <c r="M11" s="40">
        <f t="shared" si="0"/>
        <v>225.02</v>
      </c>
      <c r="N11" s="39">
        <f t="shared" si="0"/>
        <v>35000</v>
      </c>
      <c r="O11" s="40">
        <f t="shared" si="0"/>
        <v>30040.66</v>
      </c>
      <c r="P11" s="42">
        <f t="shared" si="0"/>
        <v>1183406.4700000002</v>
      </c>
      <c r="Q11" s="42">
        <f t="shared" si="0"/>
        <v>1520443.5299999998</v>
      </c>
      <c r="R11" s="5"/>
    </row>
    <row r="12" spans="1:17" ht="17.25" thickBot="1">
      <c r="A12" s="43" t="s">
        <v>31</v>
      </c>
      <c r="B12" s="44"/>
      <c r="C12" s="143">
        <f>+C11/B11</f>
        <v>0.33969086871187576</v>
      </c>
      <c r="D12" s="143"/>
      <c r="E12" s="143">
        <f>+E11/D11</f>
        <v>0.27848350291125096</v>
      </c>
      <c r="F12" s="143"/>
      <c r="G12" s="143">
        <f>+G11/F11</f>
        <v>0.42231669246192266</v>
      </c>
      <c r="H12" s="45"/>
      <c r="I12" s="143">
        <f>+I11/H11</f>
        <v>0.6095794109589041</v>
      </c>
      <c r="J12" s="45"/>
      <c r="K12" s="45">
        <f>+K11/J11</f>
        <v>0</v>
      </c>
      <c r="L12" s="47"/>
      <c r="M12" s="152">
        <f>+M11/L11</f>
        <v>0.0281275</v>
      </c>
      <c r="N12" s="45"/>
      <c r="O12" s="145">
        <f>+O11/N11</f>
        <v>0.8583045714285714</v>
      </c>
      <c r="P12" s="58"/>
      <c r="Q12" s="5"/>
    </row>
    <row r="13" spans="1:17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"/>
    </row>
    <row r="14" spans="1:16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31" spans="5:8" ht="16.5">
      <c r="E31" s="59"/>
      <c r="F31" s="59"/>
      <c r="G31" s="60"/>
      <c r="H31" s="60"/>
    </row>
    <row r="32" spans="5:8" ht="16.5">
      <c r="E32" s="61"/>
      <c r="F32" s="61"/>
      <c r="G32" s="61"/>
      <c r="H32" s="61"/>
    </row>
    <row r="37" spans="1:6" ht="16.5">
      <c r="A37" s="53"/>
      <c r="B37" s="53"/>
      <c r="C37" s="53"/>
      <c r="D37" s="53"/>
      <c r="E37" s="53"/>
      <c r="F37" s="53"/>
    </row>
    <row r="38" ht="16.5">
      <c r="C38" s="48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6" spans="1:5" ht="16.5">
      <c r="A46" s="62" t="s">
        <v>27</v>
      </c>
      <c r="B46" s="62" t="s">
        <v>28</v>
      </c>
      <c r="C46" s="62" t="s">
        <v>29</v>
      </c>
      <c r="D46" s="62"/>
      <c r="E46" s="63"/>
    </row>
    <row r="47" spans="1:3" ht="17.25">
      <c r="A47" s="64">
        <f>+B11</f>
        <v>1208548</v>
      </c>
      <c r="B47" s="65">
        <f>+C11</f>
        <v>410532.72000000003</v>
      </c>
      <c r="C47" s="62" t="s">
        <v>1</v>
      </c>
    </row>
    <row r="48" spans="1:3" ht="17.25">
      <c r="A48" s="64">
        <f>+D11</f>
        <v>34006</v>
      </c>
      <c r="B48" s="65">
        <f>+E11</f>
        <v>9470.11</v>
      </c>
      <c r="C48" s="62" t="s">
        <v>2</v>
      </c>
    </row>
    <row r="49" spans="1:3" ht="17.25">
      <c r="A49" s="64">
        <f>+F11</f>
        <v>682296</v>
      </c>
      <c r="B49" s="65">
        <f>+G11</f>
        <v>288144.99</v>
      </c>
      <c r="C49" s="62" t="s">
        <v>3</v>
      </c>
    </row>
    <row r="50" spans="1:3" ht="17.25">
      <c r="A50" s="64">
        <f>+H11</f>
        <v>730000</v>
      </c>
      <c r="B50" s="65">
        <f>+I11</f>
        <v>444992.97000000003</v>
      </c>
      <c r="C50" s="62" t="s">
        <v>35</v>
      </c>
    </row>
    <row r="51" spans="1:3" ht="17.25">
      <c r="A51" s="64">
        <f>+J11</f>
        <v>6000</v>
      </c>
      <c r="B51" s="65">
        <f>+K11</f>
        <v>0</v>
      </c>
      <c r="C51" s="62" t="s">
        <v>33</v>
      </c>
    </row>
    <row r="52" spans="1:3" ht="17.25">
      <c r="A52" s="66">
        <f>+L11</f>
        <v>8000</v>
      </c>
      <c r="B52" s="65">
        <f>+M11</f>
        <v>225.02</v>
      </c>
      <c r="C52" s="62" t="s">
        <v>102</v>
      </c>
    </row>
    <row r="53" spans="1:3" ht="17.25">
      <c r="A53" s="64">
        <f>+N11</f>
        <v>35000</v>
      </c>
      <c r="B53" s="65">
        <f>+O11</f>
        <v>30040.66</v>
      </c>
      <c r="C53" s="62" t="s">
        <v>36</v>
      </c>
    </row>
    <row r="54" spans="1:3" ht="17.25">
      <c r="A54" s="64">
        <f>SUM(A47:A53)</f>
        <v>2703850</v>
      </c>
      <c r="B54" s="65">
        <f>SUM(B47:B53)</f>
        <v>1183406.47</v>
      </c>
      <c r="C54" s="62"/>
    </row>
    <row r="55" ht="16.5">
      <c r="B55" s="5"/>
    </row>
  </sheetData>
  <mergeCells count="10">
    <mergeCell ref="K2:L2"/>
    <mergeCell ref="B3:D3"/>
    <mergeCell ref="J5:K5"/>
    <mergeCell ref="N5:O5"/>
    <mergeCell ref="B5:C5"/>
    <mergeCell ref="D5:E5"/>
    <mergeCell ref="F5:G5"/>
    <mergeCell ref="H5:I5"/>
    <mergeCell ref="L5:M5"/>
    <mergeCell ref="B2:F2"/>
  </mergeCells>
  <printOptions/>
  <pageMargins left="0.93" right="0.75" top="0.81" bottom="0.58" header="0.26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7">
      <selection activeCell="C18" sqref="C18"/>
    </sheetView>
  </sheetViews>
  <sheetFormatPr defaultColWidth="11.421875" defaultRowHeight="15"/>
  <cols>
    <col min="1" max="1" width="18.140625" style="1" customWidth="1"/>
    <col min="2" max="3" width="13.140625" style="1" customWidth="1"/>
    <col min="4" max="4" width="9.28125" style="1" customWidth="1"/>
    <col min="5" max="5" width="13.140625" style="1" customWidth="1"/>
    <col min="6" max="6" width="12.57421875" style="1" customWidth="1"/>
    <col min="7" max="7" width="12.00390625" style="1" customWidth="1"/>
    <col min="8" max="9" width="12.7109375" style="1" customWidth="1"/>
    <col min="10" max="10" width="11.8515625" style="1" customWidth="1"/>
    <col min="11" max="11" width="13.140625" style="1" customWidth="1"/>
    <col min="12" max="12" width="13.8515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42</v>
      </c>
    </row>
    <row r="2" spans="1:3" ht="18.75" thickBot="1">
      <c r="A2" s="18" t="s">
        <v>43</v>
      </c>
      <c r="C2" s="158">
        <v>40269</v>
      </c>
    </row>
    <row r="3" spans="1:12" ht="18" thickTop="1">
      <c r="A3" s="2" t="s">
        <v>44</v>
      </c>
      <c r="B3" s="135" t="s">
        <v>45</v>
      </c>
      <c r="C3" s="135" t="s">
        <v>26</v>
      </c>
      <c r="D3" s="135" t="s">
        <v>46</v>
      </c>
      <c r="E3" s="183" t="s">
        <v>47</v>
      </c>
      <c r="F3" s="184"/>
      <c r="G3" s="184"/>
      <c r="H3" s="184"/>
      <c r="I3" s="184"/>
      <c r="J3" s="184"/>
      <c r="K3" s="185"/>
      <c r="L3" s="137" t="s">
        <v>25</v>
      </c>
    </row>
    <row r="4" spans="1:12" ht="17.25">
      <c r="A4" s="3"/>
      <c r="B4" s="136" t="s">
        <v>48</v>
      </c>
      <c r="C4" s="136" t="s">
        <v>48</v>
      </c>
      <c r="D4" s="136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50</v>
      </c>
      <c r="J4" s="4" t="s">
        <v>30</v>
      </c>
      <c r="K4" s="4" t="s">
        <v>36</v>
      </c>
      <c r="L4" s="138" t="s">
        <v>51</v>
      </c>
    </row>
    <row r="5" spans="1:12" ht="16.5">
      <c r="A5" s="160" t="s">
        <v>16</v>
      </c>
      <c r="B5" s="101">
        <f>+INT!P12+INT!Q12</f>
        <v>3014635</v>
      </c>
      <c r="C5" s="101">
        <f>SUM(E5:K5)</f>
        <v>1386952.0100000002</v>
      </c>
      <c r="D5" s="102">
        <f>+C5/B5</f>
        <v>0.4600729474712528</v>
      </c>
      <c r="E5" s="101">
        <f>+INT!C12</f>
        <v>459776.19999999995</v>
      </c>
      <c r="F5" s="101">
        <f>+INT!E$12</f>
        <v>18202.85</v>
      </c>
      <c r="G5" s="101">
        <f>+INT!G$12</f>
        <v>452219.67000000004</v>
      </c>
      <c r="H5" s="101">
        <f>+INT!I$12</f>
        <v>280046.94000000006</v>
      </c>
      <c r="I5" s="101">
        <f>+INT!K$12</f>
        <v>52369.049999999996</v>
      </c>
      <c r="J5" s="101">
        <f>+INT!M12</f>
        <v>10706.96</v>
      </c>
      <c r="K5" s="101">
        <f>+INT!O$12</f>
        <v>113630.34</v>
      </c>
      <c r="L5" s="103">
        <f>+B5-C5</f>
        <v>1627682.9899999998</v>
      </c>
    </row>
    <row r="6" spans="1:12" ht="16.5">
      <c r="A6" s="160" t="s">
        <v>17</v>
      </c>
      <c r="B6" s="101">
        <f>+GOB!P16+GOB!Q16</f>
        <v>5825032</v>
      </c>
      <c r="C6" s="101">
        <f>SUM(E6:K6)</f>
        <v>2477954.93</v>
      </c>
      <c r="D6" s="102">
        <f>+C6/B6</f>
        <v>0.42539765103436344</v>
      </c>
      <c r="E6" s="101">
        <f>+GOB!C16</f>
        <v>1074996.91</v>
      </c>
      <c r="F6" s="101">
        <f>+GOB!E16</f>
        <v>20869.91</v>
      </c>
      <c r="G6" s="101">
        <f>+GOB!G16</f>
        <v>515926.69</v>
      </c>
      <c r="H6" s="101">
        <f>+GOB!I16</f>
        <v>395651.80000000005</v>
      </c>
      <c r="I6" s="101">
        <f>+GOB!K16</f>
        <v>237849.03000000003</v>
      </c>
      <c r="J6" s="101">
        <f>+GOB!M16</f>
        <v>2667.9900000000002</v>
      </c>
      <c r="K6" s="101">
        <f>+GOB!O16</f>
        <v>229992.59999999998</v>
      </c>
      <c r="L6" s="103">
        <f>+B6-C6</f>
        <v>3347077.07</v>
      </c>
    </row>
    <row r="7" spans="1:12" ht="16.5">
      <c r="A7" s="160" t="s">
        <v>18</v>
      </c>
      <c r="B7" s="101">
        <f>+SEH!P14+SEH!Q14</f>
        <v>5537291.000000001</v>
      </c>
      <c r="C7" s="101">
        <f>SUM(E7:K7)</f>
        <v>1794218.6599999997</v>
      </c>
      <c r="D7" s="102">
        <f>+C7/B7</f>
        <v>0.32402462864964104</v>
      </c>
      <c r="E7" s="101">
        <f>+SEH!C14</f>
        <v>996136.2699999999</v>
      </c>
      <c r="F7" s="101">
        <f>+SEH!E14</f>
        <v>95545.28</v>
      </c>
      <c r="G7" s="101">
        <f>+SEH!G14</f>
        <v>468237.06999999995</v>
      </c>
      <c r="H7" s="101">
        <f>+SEH!I14</f>
        <v>0</v>
      </c>
      <c r="I7" s="101">
        <f>+SEH!K14</f>
        <v>23334.27</v>
      </c>
      <c r="J7" s="101">
        <f>+SEH!M14</f>
        <v>173.94</v>
      </c>
      <c r="K7" s="101">
        <f>+SEH!O14</f>
        <v>210791.83000000002</v>
      </c>
      <c r="L7" s="103">
        <f>+B7-C7</f>
        <v>3743072.3400000012</v>
      </c>
    </row>
    <row r="8" spans="1:12" ht="16.5">
      <c r="A8" s="160" t="s">
        <v>21</v>
      </c>
      <c r="B8" s="101">
        <f>+SAS!P13+SAS!Q13</f>
        <v>13574360.000000002</v>
      </c>
      <c r="C8" s="101">
        <f aca="true" t="shared" si="0" ref="C8:C15">SUM(E8:K8)</f>
        <v>3891913.08</v>
      </c>
      <c r="D8" s="102">
        <f aca="true" t="shared" si="1" ref="D8:D15">+C8/B8</f>
        <v>0.2867106132443813</v>
      </c>
      <c r="E8" s="101">
        <f>+SAS!C13</f>
        <v>1885903.9700000002</v>
      </c>
      <c r="F8" s="101">
        <f>+SAS!E13</f>
        <v>43082.34</v>
      </c>
      <c r="G8" s="101">
        <f>+SAS!G13</f>
        <v>489889.36</v>
      </c>
      <c r="H8" s="101">
        <f>+SAS!I13</f>
        <v>1121243.73</v>
      </c>
      <c r="I8" s="101">
        <f>+SAS!K13</f>
        <v>1920.9100000000003</v>
      </c>
      <c r="J8" s="101">
        <f>+SAS!M13</f>
        <v>834.28</v>
      </c>
      <c r="K8" s="101">
        <f>+SAS!O13</f>
        <v>349038.49</v>
      </c>
      <c r="L8" s="103">
        <f aca="true" t="shared" si="2" ref="L8:L15">+B8-C8</f>
        <v>9682446.920000002</v>
      </c>
    </row>
    <row r="9" spans="1:12" ht="16.5">
      <c r="A9" s="160" t="s">
        <v>19</v>
      </c>
      <c r="B9" s="101">
        <f>+SOP!P12+SOP!Q12</f>
        <v>11496873</v>
      </c>
      <c r="C9" s="101">
        <f t="shared" si="0"/>
        <v>2786669.9299999997</v>
      </c>
      <c r="D9" s="102">
        <f t="shared" si="1"/>
        <v>0.24238503199957065</v>
      </c>
      <c r="E9" s="101">
        <f>+SOP!C12</f>
        <v>882835.4799999999</v>
      </c>
      <c r="F9" s="101">
        <f>+SOP!E12</f>
        <v>51211.189999999995</v>
      </c>
      <c r="G9" s="101">
        <f>+SOP!G12</f>
        <v>360480.85</v>
      </c>
      <c r="H9" s="101">
        <f>+SOP!I12</f>
        <v>4000</v>
      </c>
      <c r="I9" s="101">
        <f>+SOP!K12</f>
        <v>7836.76</v>
      </c>
      <c r="J9" s="101">
        <f>+SOP!M12</f>
        <v>1271151.19</v>
      </c>
      <c r="K9" s="101">
        <f>+SOP!O12</f>
        <v>209154.46</v>
      </c>
      <c r="L9" s="103">
        <f t="shared" si="2"/>
        <v>8710203.07</v>
      </c>
    </row>
    <row r="10" spans="1:12" ht="16.5">
      <c r="A10" s="160" t="s">
        <v>87</v>
      </c>
      <c r="B10" s="101">
        <f>+SFOI!P13+SFOI!Q13</f>
        <v>8534458</v>
      </c>
      <c r="C10" s="101">
        <f t="shared" si="0"/>
        <v>3346008.1100000003</v>
      </c>
      <c r="D10" s="102">
        <f t="shared" si="1"/>
        <v>0.3920586532853053</v>
      </c>
      <c r="E10" s="101">
        <f>+SFOI!C13</f>
        <v>2111683.1500000004</v>
      </c>
      <c r="F10" s="101">
        <f>+SFOI!E13</f>
        <v>57580.91</v>
      </c>
      <c r="G10" s="101">
        <f>+SFOI!G13</f>
        <v>912634.3699999999</v>
      </c>
      <c r="H10" s="101">
        <f>+SFOI!I13</f>
        <v>1336.91</v>
      </c>
      <c r="I10" s="101">
        <f>+SFOI!K13</f>
        <v>14195.029999999999</v>
      </c>
      <c r="J10" s="101">
        <f>+SFOI!M13</f>
        <v>0</v>
      </c>
      <c r="K10" s="101">
        <f>+SFOI!O13</f>
        <v>248577.74</v>
      </c>
      <c r="L10" s="103">
        <f t="shared" si="2"/>
        <v>5188449.89</v>
      </c>
    </row>
    <row r="11" spans="1:12" ht="16.5">
      <c r="A11" s="160" t="s">
        <v>22</v>
      </c>
      <c r="B11" s="101">
        <f>+'CD'!P12+'CD'!Q12</f>
        <v>1274020</v>
      </c>
      <c r="C11" s="101">
        <f t="shared" si="0"/>
        <v>417213.74</v>
      </c>
      <c r="D11" s="102">
        <f t="shared" si="1"/>
        <v>0.327478171457277</v>
      </c>
      <c r="E11" s="101">
        <f>+'CD'!C12</f>
        <v>286162.39</v>
      </c>
      <c r="F11" s="101">
        <f>+'CD'!E12</f>
        <v>2703.69</v>
      </c>
      <c r="G11" s="101">
        <f>+'CD'!G12</f>
        <v>6043.71</v>
      </c>
      <c r="H11" s="101">
        <f>+'CD'!I12</f>
        <v>57383.299999999996</v>
      </c>
      <c r="I11" s="101">
        <f>+'CD'!K12</f>
        <v>1911.29</v>
      </c>
      <c r="J11" s="101">
        <f>+'CD'!M12</f>
        <v>0</v>
      </c>
      <c r="K11" s="101">
        <f>+'CD'!O12</f>
        <v>63009.36</v>
      </c>
      <c r="L11" s="103">
        <f t="shared" si="2"/>
        <v>856806.26</v>
      </c>
    </row>
    <row r="12" spans="1:12" ht="16.5">
      <c r="A12" s="160" t="s">
        <v>23</v>
      </c>
      <c r="B12" s="101">
        <f>+'CM'!N12+'CM'!O12</f>
        <v>393473</v>
      </c>
      <c r="C12" s="101">
        <f t="shared" si="0"/>
        <v>108745.12</v>
      </c>
      <c r="D12" s="102">
        <f t="shared" si="1"/>
        <v>0.2763725084059135</v>
      </c>
      <c r="E12" s="101">
        <f>+'CM'!C12</f>
        <v>78941.68</v>
      </c>
      <c r="F12" s="101">
        <f>+'CM'!E12</f>
        <v>0</v>
      </c>
      <c r="G12" s="101">
        <f>+'CM'!G12</f>
        <v>18774.25</v>
      </c>
      <c r="H12" s="101">
        <f>+'CM'!I12</f>
        <v>0</v>
      </c>
      <c r="I12" s="101">
        <f>+'CM'!K12</f>
        <v>0</v>
      </c>
      <c r="J12" s="101">
        <v>0</v>
      </c>
      <c r="K12" s="101">
        <f>+'CM'!M12</f>
        <v>11029.19</v>
      </c>
      <c r="L12" s="103">
        <f t="shared" si="2"/>
        <v>284727.88</v>
      </c>
    </row>
    <row r="13" spans="1:12" ht="16.5">
      <c r="A13" s="160" t="s">
        <v>20</v>
      </c>
      <c r="B13" s="101">
        <f>+SSP!P13+SSP!Q13</f>
        <v>18626594</v>
      </c>
      <c r="C13" s="101">
        <f t="shared" si="0"/>
        <v>7141900.0200000005</v>
      </c>
      <c r="D13" s="102">
        <f t="shared" si="1"/>
        <v>0.3834249041988031</v>
      </c>
      <c r="E13" s="101">
        <f>+SSP!C13</f>
        <v>3445116.7</v>
      </c>
      <c r="F13" s="101">
        <f>+SSP!E13</f>
        <v>1098699.28</v>
      </c>
      <c r="G13" s="101">
        <f>+SSP!G13</f>
        <v>1485258.71</v>
      </c>
      <c r="H13" s="101">
        <f>+SSP!I13</f>
        <v>33316.85</v>
      </c>
      <c r="I13" s="101">
        <f>+SSP!K13</f>
        <v>46392.53</v>
      </c>
      <c r="J13" s="101">
        <f>+SSP!M13</f>
        <v>210416.36</v>
      </c>
      <c r="K13" s="101">
        <f>+SSP!O13</f>
        <v>822699.59</v>
      </c>
      <c r="L13" s="103">
        <f t="shared" si="2"/>
        <v>11484693.98</v>
      </c>
    </row>
    <row r="14" spans="1:12" ht="16.5">
      <c r="A14" s="160" t="s">
        <v>125</v>
      </c>
      <c r="B14" s="101">
        <f>+'CULT.'!P17+'CULT.'!Q17</f>
        <v>2690414</v>
      </c>
      <c r="C14" s="101">
        <f t="shared" si="0"/>
        <v>1117325.19</v>
      </c>
      <c r="D14" s="102">
        <f t="shared" si="1"/>
        <v>0.4152986083182737</v>
      </c>
      <c r="E14" s="101">
        <f>+'CULT.'!C17</f>
        <v>585829.64</v>
      </c>
      <c r="F14" s="101">
        <f>+'CULT.'!E17</f>
        <v>17948.79</v>
      </c>
      <c r="G14" s="101">
        <f>+'CULT.'!G17</f>
        <v>284237.25999999995</v>
      </c>
      <c r="H14" s="101">
        <f>+'CULT.'!I17</f>
        <v>130828.19</v>
      </c>
      <c r="I14" s="101">
        <f>+'CULT.'!K17</f>
        <v>281</v>
      </c>
      <c r="J14" s="101">
        <f>+'CULT.'!M17</f>
        <v>28923.79</v>
      </c>
      <c r="K14" s="101">
        <f>+'CULT.'!O17</f>
        <v>69276.52</v>
      </c>
      <c r="L14" s="103">
        <f t="shared" si="2"/>
        <v>1573088.81</v>
      </c>
    </row>
    <row r="15" spans="1:12" ht="16.5">
      <c r="A15" s="160" t="s">
        <v>126</v>
      </c>
      <c r="B15" s="101">
        <f>+'DEP.'!P11+'DEP.'!Q11</f>
        <v>2703850</v>
      </c>
      <c r="C15" s="101">
        <f t="shared" si="0"/>
        <v>1183406.47</v>
      </c>
      <c r="D15" s="102">
        <f t="shared" si="1"/>
        <v>0.43767460103186195</v>
      </c>
      <c r="E15" s="101">
        <f>+'DEP.'!C11</f>
        <v>410532.72000000003</v>
      </c>
      <c r="F15" s="101">
        <f>+'DEP.'!E11</f>
        <v>9470.11</v>
      </c>
      <c r="G15" s="101">
        <f>+'DEP.'!G11</f>
        <v>288144.99</v>
      </c>
      <c r="H15" s="101">
        <f>+'DEP.'!I11</f>
        <v>444992.97000000003</v>
      </c>
      <c r="I15" s="101">
        <f>+'DEP.'!K11</f>
        <v>0</v>
      </c>
      <c r="J15" s="101">
        <f>+'DEP.'!M11</f>
        <v>225.02</v>
      </c>
      <c r="K15" s="101">
        <f>+'DEP.'!O11</f>
        <v>30040.66</v>
      </c>
      <c r="L15" s="103">
        <f t="shared" si="2"/>
        <v>1520443.53</v>
      </c>
    </row>
    <row r="16" spans="1:12" ht="17.25">
      <c r="A16" s="16" t="s">
        <v>11</v>
      </c>
      <c r="B16" s="11">
        <f>SUM(B5:B15)</f>
        <v>73671000</v>
      </c>
      <c r="C16" s="11">
        <f>SUM(C5:C15)</f>
        <v>25652307.259999998</v>
      </c>
      <c r="D16" s="12">
        <f>+C16/B16</f>
        <v>0.3482008831154728</v>
      </c>
      <c r="E16" s="11">
        <f aca="true" t="shared" si="3" ref="E16:L16">SUM(E5:E15)</f>
        <v>12217915.110000001</v>
      </c>
      <c r="F16" s="11">
        <f t="shared" si="3"/>
        <v>1415314.35</v>
      </c>
      <c r="G16" s="11">
        <f t="shared" si="3"/>
        <v>5281846.93</v>
      </c>
      <c r="H16" s="11">
        <f t="shared" si="3"/>
        <v>2468800.6900000004</v>
      </c>
      <c r="I16" s="11">
        <f t="shared" si="3"/>
        <v>386089.87</v>
      </c>
      <c r="J16" s="11">
        <f t="shared" si="3"/>
        <v>1525099.5299999998</v>
      </c>
      <c r="K16" s="11">
        <f t="shared" si="3"/>
        <v>2357240.7800000003</v>
      </c>
      <c r="L16" s="19">
        <f t="shared" si="3"/>
        <v>48018692.74000001</v>
      </c>
    </row>
    <row r="17" spans="1:12" ht="18" thickBot="1">
      <c r="A17" s="15" t="s">
        <v>52</v>
      </c>
      <c r="B17" s="6"/>
      <c r="C17" s="7"/>
      <c r="D17" s="8"/>
      <c r="E17" s="13">
        <f>+E16/40231770</f>
        <v>0.3036882322105143</v>
      </c>
      <c r="F17" s="14">
        <f>+F16/3050811</f>
        <v>0.4639141362739285</v>
      </c>
      <c r="G17" s="14">
        <f>+G16/12881883</f>
        <v>0.4100213400478796</v>
      </c>
      <c r="H17" s="14">
        <f>+H16/8166216</f>
        <v>0.30231880836852715</v>
      </c>
      <c r="I17" s="14">
        <f>+I16/(116720)</f>
        <v>3.307829592186429</v>
      </c>
      <c r="J17" s="14">
        <f>+J16/6723600</f>
        <v>0.2268278199179011</v>
      </c>
      <c r="K17" s="14">
        <f>+K16/2500000</f>
        <v>0.9428963120000001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53</v>
      </c>
    </row>
    <row r="20" ht="16.5">
      <c r="K20" s="128"/>
    </row>
    <row r="21" ht="16.5">
      <c r="K21" s="129" t="s">
        <v>54</v>
      </c>
    </row>
    <row r="22" ht="16.5">
      <c r="K22" s="128"/>
    </row>
    <row r="23" ht="16.5">
      <c r="K23" s="159" t="s">
        <v>55</v>
      </c>
    </row>
    <row r="24" ht="16.5">
      <c r="K24" s="128"/>
    </row>
    <row r="25" ht="16.5">
      <c r="K25" s="130" t="s">
        <v>56</v>
      </c>
    </row>
    <row r="26" ht="16.5">
      <c r="K26" s="128"/>
    </row>
    <row r="27" ht="16.5">
      <c r="K27" s="139" t="s">
        <v>57</v>
      </c>
    </row>
    <row r="28" ht="16.5">
      <c r="K28" s="128"/>
    </row>
    <row r="29" ht="16.5">
      <c r="K29" s="131" t="s">
        <v>58</v>
      </c>
    </row>
    <row r="30" ht="16.5">
      <c r="K30" s="128"/>
    </row>
    <row r="31" ht="16.5">
      <c r="K31" s="132" t="s">
        <v>59</v>
      </c>
    </row>
    <row r="32" ht="16.5">
      <c r="K32" s="128"/>
    </row>
    <row r="33" ht="16.5">
      <c r="K33" s="133" t="s">
        <v>60</v>
      </c>
    </row>
    <row r="34" ht="16.5">
      <c r="K34" s="128"/>
    </row>
    <row r="35" ht="16.5">
      <c r="K35" s="134" t="s">
        <v>61</v>
      </c>
    </row>
    <row r="60" spans="5:13" ht="16.5">
      <c r="E60" s="1" t="s">
        <v>61</v>
      </c>
      <c r="F60" s="1" t="s">
        <v>60</v>
      </c>
      <c r="G60" s="1" t="s">
        <v>59</v>
      </c>
      <c r="H60" s="1" t="s">
        <v>62</v>
      </c>
      <c r="I60" s="1" t="s">
        <v>63</v>
      </c>
      <c r="J60" s="1" t="s">
        <v>64</v>
      </c>
      <c r="K60" s="1" t="s">
        <v>55</v>
      </c>
      <c r="L60" s="1" t="s">
        <v>65</v>
      </c>
      <c r="M60" s="1" t="s">
        <v>66</v>
      </c>
    </row>
    <row r="61" spans="1:13" ht="16.5">
      <c r="A61" s="1" t="s">
        <v>67</v>
      </c>
      <c r="E61" s="10">
        <f>+E5/B5</f>
        <v>0.15251471571185232</v>
      </c>
      <c r="F61" s="10">
        <f aca="true" t="shared" si="4" ref="F61:L61">+F5/$B$5</f>
        <v>0.006038160506993384</v>
      </c>
      <c r="G61" s="10">
        <f t="shared" si="4"/>
        <v>0.1500081004831431</v>
      </c>
      <c r="H61" s="10">
        <f t="shared" si="4"/>
        <v>0.09289580330620459</v>
      </c>
      <c r="I61" s="10">
        <f t="shared" si="4"/>
        <v>0.017371605517749245</v>
      </c>
      <c r="J61" s="10">
        <f t="shared" si="4"/>
        <v>0.0035516604829440375</v>
      </c>
      <c r="K61" s="10">
        <f t="shared" si="4"/>
        <v>0.03769290146236609</v>
      </c>
      <c r="L61" s="10">
        <f t="shared" si="4"/>
        <v>0.5399270525287472</v>
      </c>
      <c r="M61" s="10">
        <f>SUM(E61:L61)</f>
        <v>1</v>
      </c>
    </row>
    <row r="62" spans="1:13" ht="16.5">
      <c r="A62" s="1" t="s">
        <v>95</v>
      </c>
      <c r="E62" s="10">
        <f>+E6/B6</f>
        <v>0.18454781192618339</v>
      </c>
      <c r="F62" s="10">
        <f>+F6/B6</f>
        <v>0.003582797485061026</v>
      </c>
      <c r="G62" s="10">
        <f>+G6/B6</f>
        <v>0.0885706190111917</v>
      </c>
      <c r="H62" s="10">
        <f>+H6/B6</f>
        <v>0.0679226826565073</v>
      </c>
      <c r="I62" s="10">
        <f>+I6/B6</f>
        <v>0.04083222718776481</v>
      </c>
      <c r="J62" s="10">
        <f>+J6/B6</f>
        <v>0.00045802151816505044</v>
      </c>
      <c r="K62" s="10">
        <f>+K6/B6</f>
        <v>0.039483491249490126</v>
      </c>
      <c r="L62" s="10">
        <f>+L6/B6</f>
        <v>0.5746023489656366</v>
      </c>
      <c r="M62" s="10">
        <f>SUM(E62:L62)</f>
        <v>1</v>
      </c>
    </row>
    <row r="63" spans="1:13" ht="16.5">
      <c r="A63" s="1" t="s">
        <v>96</v>
      </c>
      <c r="E63" s="10">
        <f>+E7/B7</f>
        <v>0.17989595814993284</v>
      </c>
      <c r="F63" s="10">
        <f>+F7/B7</f>
        <v>0.017254877881621174</v>
      </c>
      <c r="G63" s="10">
        <f>+G7/B7</f>
        <v>0.08456067596953093</v>
      </c>
      <c r="H63" s="10">
        <f>+H7/B7</f>
        <v>0</v>
      </c>
      <c r="I63" s="10">
        <f>+I7/B7</f>
        <v>0.004214022705326485</v>
      </c>
      <c r="J63" s="10">
        <f>+J7/B7</f>
        <v>3.141247227209117E-05</v>
      </c>
      <c r="K63" s="10">
        <f>+K7/B7</f>
        <v>0.03806768147095754</v>
      </c>
      <c r="L63" s="10">
        <f>+L7/B7</f>
        <v>0.675975371350359</v>
      </c>
      <c r="M63" s="10">
        <f>SUM(E63:L63)</f>
        <v>1</v>
      </c>
    </row>
    <row r="64" spans="1:13" ht="16.5">
      <c r="A64" s="1" t="s">
        <v>68</v>
      </c>
      <c r="E64" s="10">
        <f aca="true" t="shared" si="5" ref="E64:L64">+E8/$B$8</f>
        <v>0.13893133598932103</v>
      </c>
      <c r="F64" s="10">
        <f t="shared" si="5"/>
        <v>0.003173802669149779</v>
      </c>
      <c r="G64" s="10">
        <f t="shared" si="5"/>
        <v>0.03608931544470604</v>
      </c>
      <c r="H64" s="10">
        <f t="shared" si="5"/>
        <v>0.08260011742726728</v>
      </c>
      <c r="I64" s="10">
        <f t="shared" si="5"/>
        <v>0.0001415101706452459</v>
      </c>
      <c r="J64" s="10">
        <f t="shared" si="5"/>
        <v>6.145998780052982E-05</v>
      </c>
      <c r="K64" s="10">
        <f t="shared" si="5"/>
        <v>0.02571307155549138</v>
      </c>
      <c r="L64" s="10">
        <f t="shared" si="5"/>
        <v>0.7132893867556187</v>
      </c>
      <c r="M64" s="10">
        <f aca="true" t="shared" si="6" ref="M64:M71">SUM(E64:L64)</f>
        <v>1</v>
      </c>
    </row>
    <row r="65" spans="1:13" ht="16.5">
      <c r="A65" s="1" t="s">
        <v>69</v>
      </c>
      <c r="E65" s="10">
        <f>+E9/$B$9</f>
        <v>0.07678918258903963</v>
      </c>
      <c r="F65" s="10">
        <f aca="true" t="shared" si="7" ref="F65:L65">+F9/$B$9</f>
        <v>0.004454358154604299</v>
      </c>
      <c r="G65" s="10">
        <f t="shared" si="7"/>
        <v>0.03135468661783078</v>
      </c>
      <c r="H65" s="10">
        <f t="shared" si="7"/>
        <v>0.0003479206911305361</v>
      </c>
      <c r="I65" s="10">
        <f t="shared" si="7"/>
        <v>0.000681642738856035</v>
      </c>
      <c r="J65" s="10">
        <f t="shared" si="7"/>
        <v>0.11056495013905085</v>
      </c>
      <c r="K65" s="10">
        <f t="shared" si="7"/>
        <v>0.018192291069058515</v>
      </c>
      <c r="L65" s="10">
        <f t="shared" si="7"/>
        <v>0.7576149680004294</v>
      </c>
      <c r="M65" s="10">
        <f t="shared" si="6"/>
        <v>1</v>
      </c>
    </row>
    <row r="66" spans="1:13" ht="16.5">
      <c r="A66" s="1" t="s">
        <v>72</v>
      </c>
      <c r="E66" s="10">
        <f>+E10/$B$10</f>
        <v>0.24743025860576037</v>
      </c>
      <c r="F66" s="10">
        <f aca="true" t="shared" si="8" ref="F66:L66">+F10/$B$10</f>
        <v>0.006746873673758779</v>
      </c>
      <c r="G66" s="10">
        <f t="shared" si="8"/>
        <v>0.10693524650305852</v>
      </c>
      <c r="H66" s="10">
        <f t="shared" si="8"/>
        <v>0.00015664849484290627</v>
      </c>
      <c r="I66" s="10">
        <f t="shared" si="8"/>
        <v>0.0016632608655406118</v>
      </c>
      <c r="J66" s="10">
        <f t="shared" si="8"/>
        <v>0</v>
      </c>
      <c r="K66" s="10">
        <f t="shared" si="8"/>
        <v>0.029126365142344127</v>
      </c>
      <c r="L66" s="10">
        <f t="shared" si="8"/>
        <v>0.6079413467146947</v>
      </c>
      <c r="M66" s="10">
        <f t="shared" si="6"/>
        <v>1</v>
      </c>
    </row>
    <row r="67" spans="1:13" ht="16.5">
      <c r="A67" s="1" t="s">
        <v>70</v>
      </c>
      <c r="E67" s="10">
        <f>+E11/$B$11</f>
        <v>0.22461373447826566</v>
      </c>
      <c r="F67" s="10">
        <f aca="true" t="shared" si="9" ref="F67:L67">+F11/$B$11</f>
        <v>0.002122172336384044</v>
      </c>
      <c r="G67" s="10">
        <f t="shared" si="9"/>
        <v>0.004743810929184785</v>
      </c>
      <c r="H67" s="10">
        <f t="shared" si="9"/>
        <v>0.04504112965259572</v>
      </c>
      <c r="I67" s="10">
        <f t="shared" si="9"/>
        <v>0.00150020407842891</v>
      </c>
      <c r="J67" s="10">
        <f t="shared" si="9"/>
        <v>0</v>
      </c>
      <c r="K67" s="10">
        <f t="shared" si="9"/>
        <v>0.049457119982417856</v>
      </c>
      <c r="L67" s="10">
        <f t="shared" si="9"/>
        <v>0.672521828542723</v>
      </c>
      <c r="M67" s="10">
        <f t="shared" si="6"/>
        <v>1</v>
      </c>
    </row>
    <row r="68" spans="1:13" ht="16.5">
      <c r="A68" s="1" t="s">
        <v>99</v>
      </c>
      <c r="E68" s="10">
        <f>+E12/$B$12</f>
        <v>0.20062794651729596</v>
      </c>
      <c r="F68" s="10">
        <f aca="true" t="shared" si="10" ref="F68:L68">+F12/$B$12</f>
        <v>0</v>
      </c>
      <c r="G68" s="10">
        <f t="shared" si="10"/>
        <v>0.047714201482693855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0.02803036040592366</v>
      </c>
      <c r="L68" s="10">
        <f t="shared" si="10"/>
        <v>0.7236274915940866</v>
      </c>
      <c r="M68" s="10">
        <f t="shared" si="6"/>
        <v>1</v>
      </c>
    </row>
    <row r="69" spans="1:13" ht="16.5">
      <c r="A69" s="1" t="s">
        <v>73</v>
      </c>
      <c r="E69" s="10">
        <f>+E13/$B$13</f>
        <v>0.18495687939512723</v>
      </c>
      <c r="F69" s="10">
        <f aca="true" t="shared" si="11" ref="F69:L69">+F13/$B$13</f>
        <v>0.058985517158961</v>
      </c>
      <c r="G69" s="10">
        <f t="shared" si="11"/>
        <v>0.07973860975334514</v>
      </c>
      <c r="H69" s="10">
        <f t="shared" si="11"/>
        <v>0.0017886710796402175</v>
      </c>
      <c r="I69" s="10">
        <f t="shared" si="11"/>
        <v>0.002490660933501852</v>
      </c>
      <c r="J69" s="10">
        <f t="shared" si="11"/>
        <v>0.011296555881338263</v>
      </c>
      <c r="K69" s="10">
        <f t="shared" si="11"/>
        <v>0.04416800999688939</v>
      </c>
      <c r="L69" s="10">
        <f t="shared" si="11"/>
        <v>0.616575095801197</v>
      </c>
      <c r="M69" s="10">
        <f t="shared" si="6"/>
        <v>1</v>
      </c>
    </row>
    <row r="70" spans="1:13" ht="16.5">
      <c r="A70" s="1" t="s">
        <v>74</v>
      </c>
      <c r="E70" s="10">
        <f>+E14/$B$14</f>
        <v>0.21774702332057447</v>
      </c>
      <c r="F70" s="10">
        <f aca="true" t="shared" si="12" ref="F70:L70">+F14/$B$14</f>
        <v>0.006671385890795989</v>
      </c>
      <c r="G70" s="10">
        <f t="shared" si="12"/>
        <v>0.10564814931828334</v>
      </c>
      <c r="H70" s="10">
        <f t="shared" si="12"/>
        <v>0.04862753093018398</v>
      </c>
      <c r="I70" s="10">
        <f t="shared" si="12"/>
        <v>0.0001044448921244091</v>
      </c>
      <c r="J70" s="10">
        <f t="shared" si="12"/>
        <v>0.010750683723768908</v>
      </c>
      <c r="K70" s="10">
        <f t="shared" si="12"/>
        <v>0.025749390242542598</v>
      </c>
      <c r="L70" s="10">
        <f t="shared" si="12"/>
        <v>0.5847013916817263</v>
      </c>
      <c r="M70" s="10">
        <f t="shared" si="6"/>
        <v>1</v>
      </c>
    </row>
    <row r="71" spans="1:13" ht="16.5">
      <c r="A71" s="1" t="s">
        <v>71</v>
      </c>
      <c r="E71" s="10">
        <f>+E15/$B$15</f>
        <v>0.15183265343861532</v>
      </c>
      <c r="F71" s="10">
        <f aca="true" t="shared" si="13" ref="F71:L71">+F15/$B$15</f>
        <v>0.0035024539083159203</v>
      </c>
      <c r="G71" s="10">
        <f t="shared" si="13"/>
        <v>0.1065684080107994</v>
      </c>
      <c r="H71" s="10">
        <f t="shared" si="13"/>
        <v>0.16457753573608006</v>
      </c>
      <c r="I71" s="10">
        <f t="shared" si="13"/>
        <v>0</v>
      </c>
      <c r="J71" s="10">
        <f t="shared" si="13"/>
        <v>8.322207223033823E-05</v>
      </c>
      <c r="K71" s="10">
        <f t="shared" si="13"/>
        <v>0.01111032786582096</v>
      </c>
      <c r="L71" s="10">
        <f t="shared" si="13"/>
        <v>0.562325398968138</v>
      </c>
      <c r="M71" s="10">
        <f t="shared" si="6"/>
        <v>1</v>
      </c>
    </row>
  </sheetData>
  <mergeCells count="1">
    <mergeCell ref="E3:K3"/>
  </mergeCells>
  <printOptions horizontalCentered="1"/>
  <pageMargins left="0.76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5"/>
  <sheetViews>
    <sheetView workbookViewId="0" topLeftCell="A22">
      <selection activeCell="P19" sqref="P19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6.8515625" style="1" customWidth="1"/>
    <col min="5" max="5" width="9.421875" style="1" customWidth="1"/>
    <col min="6" max="6" width="9.28125" style="1" customWidth="1"/>
    <col min="7" max="7" width="10.8515625" style="1" customWidth="1"/>
    <col min="8" max="8" width="7.421875" style="1" customWidth="1"/>
    <col min="9" max="9" width="10.7109375" style="1" customWidth="1"/>
    <col min="10" max="10" width="7.140625" style="1" customWidth="1"/>
    <col min="11" max="11" width="10.8515625" style="1" customWidth="1"/>
    <col min="12" max="12" width="6.8515625" style="1" customWidth="1"/>
    <col min="13" max="13" width="9.57421875" style="1" customWidth="1"/>
    <col min="14" max="14" width="7.421875" style="1" customWidth="1"/>
    <col min="15" max="15" width="10.7109375" style="1" customWidth="1"/>
    <col min="16" max="16" width="11.8515625" style="1" customWidth="1"/>
    <col min="17" max="17" width="12.00390625" style="1" customWidth="1"/>
    <col min="18" max="16384" width="11.421875" style="1" customWidth="1"/>
  </cols>
  <sheetData>
    <row r="2" spans="1:15" ht="18">
      <c r="A2" s="151" t="s">
        <v>0</v>
      </c>
      <c r="B2" s="164" t="s">
        <v>106</v>
      </c>
      <c r="C2" s="164"/>
      <c r="D2" s="169"/>
      <c r="E2" s="169"/>
      <c r="I2" s="21" t="s">
        <v>24</v>
      </c>
      <c r="J2" s="21"/>
      <c r="K2" s="158">
        <v>40269</v>
      </c>
      <c r="L2" s="122"/>
      <c r="M2" s="122"/>
      <c r="O2" s="20"/>
    </row>
    <row r="3" spans="2:4" ht="6.75" customHeight="1">
      <c r="B3" s="170"/>
      <c r="C3" s="170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31" t="s">
        <v>15</v>
      </c>
      <c r="B7" s="68">
        <v>905732</v>
      </c>
      <c r="C7" s="33">
        <f>64816.55+4679.93+110760.83+239.64+20174.92+1082.78+26414+861.8+49245.07</f>
        <v>278275.51999999996</v>
      </c>
      <c r="D7" s="68">
        <v>16165</v>
      </c>
      <c r="E7" s="33">
        <f>620.05+1310.7+7511.07</f>
        <v>9441.82</v>
      </c>
      <c r="F7" s="68">
        <v>192020</v>
      </c>
      <c r="G7" s="33">
        <f>1128.72+23464.76+24071.52+165694.41</f>
        <v>214359.41</v>
      </c>
      <c r="H7" s="68">
        <v>405000</v>
      </c>
      <c r="I7" s="33">
        <f>14506.55+26504.64+31821.79+275987.44</f>
        <v>348820.42000000004</v>
      </c>
      <c r="J7" s="68">
        <v>0</v>
      </c>
      <c r="K7" s="33">
        <f>119+447.92</f>
        <v>566.9200000000001</v>
      </c>
      <c r="L7" s="68">
        <v>0</v>
      </c>
      <c r="M7" s="33">
        <v>1472.15</v>
      </c>
      <c r="N7" s="68">
        <v>250000</v>
      </c>
      <c r="O7" s="33">
        <v>105347.44</v>
      </c>
      <c r="P7" s="34">
        <f>+O7+K7+I7+G7+E7+C7+M7</f>
        <v>958283.68</v>
      </c>
      <c r="Q7" s="34">
        <f>+B7+D7+F7+H7+J7+N7-P7</f>
        <v>810633.32</v>
      </c>
    </row>
    <row r="8" spans="1:17" ht="17.25">
      <c r="A8" s="31" t="s">
        <v>84</v>
      </c>
      <c r="B8" s="68">
        <v>132988</v>
      </c>
      <c r="C8" s="33">
        <f>428.68+38828.65</f>
        <v>39257.33</v>
      </c>
      <c r="D8" s="68">
        <v>0</v>
      </c>
      <c r="E8" s="33">
        <v>0</v>
      </c>
      <c r="F8" s="68">
        <v>0</v>
      </c>
      <c r="G8" s="33">
        <f>1700+490+5086.76</f>
        <v>7276.76</v>
      </c>
      <c r="H8" s="68">
        <v>0</v>
      </c>
      <c r="I8" s="33">
        <v>0</v>
      </c>
      <c r="J8" s="68">
        <v>0</v>
      </c>
      <c r="K8" s="33">
        <v>1161</v>
      </c>
      <c r="L8" s="68">
        <v>0</v>
      </c>
      <c r="M8" s="33">
        <v>0</v>
      </c>
      <c r="N8" s="68">
        <v>0</v>
      </c>
      <c r="O8" s="37">
        <v>4242.69</v>
      </c>
      <c r="P8" s="34">
        <f aca="true" t="shared" si="0" ref="P8:P15">+O8+K8+I8+G8+E8+C8</f>
        <v>51937.78</v>
      </c>
      <c r="Q8" s="34">
        <f>+B8+D8+F8+H8+J8+N8-P8</f>
        <v>81050.22</v>
      </c>
    </row>
    <row r="9" spans="1:17" ht="17.25">
      <c r="A9" s="31" t="s">
        <v>85</v>
      </c>
      <c r="B9" s="68">
        <v>203537</v>
      </c>
      <c r="C9" s="33">
        <f>893.9+75507.19</f>
        <v>76401.09</v>
      </c>
      <c r="D9" s="68">
        <v>0</v>
      </c>
      <c r="E9" s="33">
        <v>300</v>
      </c>
      <c r="F9" s="68">
        <v>360094</v>
      </c>
      <c r="G9" s="33">
        <f>3462.25+74586.94</f>
        <v>78049.19</v>
      </c>
      <c r="H9" s="68">
        <v>0</v>
      </c>
      <c r="I9" s="33">
        <v>0</v>
      </c>
      <c r="J9" s="68">
        <v>0</v>
      </c>
      <c r="K9" s="33">
        <v>295</v>
      </c>
      <c r="L9" s="68">
        <v>0</v>
      </c>
      <c r="M9" s="33">
        <v>0</v>
      </c>
      <c r="N9" s="68">
        <v>0</v>
      </c>
      <c r="O9" s="37">
        <v>9478.02</v>
      </c>
      <c r="P9" s="34">
        <f>+O9+K9+I9+G9+E9+C9+M9</f>
        <v>164523.3</v>
      </c>
      <c r="Q9" s="34">
        <f aca="true" t="shared" si="1" ref="Q9:Q15">+B9+D9+F9+H9+J9+N9-P9</f>
        <v>399107.7</v>
      </c>
    </row>
    <row r="10" spans="1:17" ht="17.25">
      <c r="A10" s="31" t="s">
        <v>75</v>
      </c>
      <c r="B10" s="68">
        <v>673259</v>
      </c>
      <c r="C10" s="33">
        <f>250+1617.65+87943.88+2442.84+61229.07+11.62+20099.5+2.82+4497.31</f>
        <v>178094.69</v>
      </c>
      <c r="D10" s="68">
        <v>1600</v>
      </c>
      <c r="E10" s="33">
        <f>1700+3964.53</f>
        <v>5664.530000000001</v>
      </c>
      <c r="F10" s="68">
        <v>10700</v>
      </c>
      <c r="G10" s="33">
        <f>10+2086.3</f>
        <v>2096.3</v>
      </c>
      <c r="H10" s="68">
        <v>0</v>
      </c>
      <c r="I10" s="33">
        <v>0</v>
      </c>
      <c r="J10" s="68">
        <v>0</v>
      </c>
      <c r="K10" s="33">
        <f>1852+774+290</f>
        <v>2916</v>
      </c>
      <c r="L10" s="68">
        <v>0</v>
      </c>
      <c r="M10" s="33">
        <v>1059.42</v>
      </c>
      <c r="N10" s="68">
        <v>0</v>
      </c>
      <c r="O10" s="37">
        <v>23537.04</v>
      </c>
      <c r="P10" s="34">
        <f>+O10+K10+I10+G10+E10+C10+M10</f>
        <v>213367.98</v>
      </c>
      <c r="Q10" s="34">
        <f t="shared" si="1"/>
        <v>472191.02</v>
      </c>
    </row>
    <row r="11" spans="1:17" ht="17.25">
      <c r="A11" s="31" t="s">
        <v>107</v>
      </c>
      <c r="B11" s="68">
        <v>444172</v>
      </c>
      <c r="C11" s="33">
        <f>892.81+1670.93+164136.07</f>
        <v>166699.81</v>
      </c>
      <c r="D11" s="68">
        <v>12000</v>
      </c>
      <c r="E11" s="33">
        <v>1340</v>
      </c>
      <c r="F11" s="68">
        <v>90000</v>
      </c>
      <c r="G11" s="33">
        <f>4105+3809.5+6305.7+20188</f>
        <v>34408.2</v>
      </c>
      <c r="H11" s="68">
        <v>0</v>
      </c>
      <c r="I11" s="33">
        <v>0</v>
      </c>
      <c r="J11" s="68">
        <v>5000</v>
      </c>
      <c r="K11" s="33">
        <v>0</v>
      </c>
      <c r="L11" s="68">
        <v>0</v>
      </c>
      <c r="M11" s="33">
        <v>136.42</v>
      </c>
      <c r="N11" s="68">
        <v>0</v>
      </c>
      <c r="O11" s="37">
        <v>23248.77</v>
      </c>
      <c r="P11" s="34">
        <f>+O11+K11+I11+G11+E11+C11+M11</f>
        <v>225833.2</v>
      </c>
      <c r="Q11" s="34">
        <f t="shared" si="1"/>
        <v>325338.8</v>
      </c>
    </row>
    <row r="12" spans="1:17" ht="17.25">
      <c r="A12" s="31" t="s">
        <v>12</v>
      </c>
      <c r="B12" s="68">
        <v>196210</v>
      </c>
      <c r="C12" s="33">
        <f>391.55+53235.46</f>
        <v>53627.01</v>
      </c>
      <c r="D12" s="68">
        <v>6000</v>
      </c>
      <c r="E12" s="33">
        <f>300+500</f>
        <v>800</v>
      </c>
      <c r="F12" s="68">
        <v>168500</v>
      </c>
      <c r="G12" s="33">
        <v>1436.62</v>
      </c>
      <c r="H12" s="68">
        <v>0</v>
      </c>
      <c r="I12" s="33">
        <v>0</v>
      </c>
      <c r="J12" s="68">
        <v>0</v>
      </c>
      <c r="K12" s="33">
        <f>86581.42+145274.04</f>
        <v>231855.46000000002</v>
      </c>
      <c r="L12" s="68">
        <v>0</v>
      </c>
      <c r="M12" s="33">
        <v>0</v>
      </c>
      <c r="N12" s="68">
        <v>0</v>
      </c>
      <c r="O12" s="37">
        <f>5160.9+4000</f>
        <v>9160.9</v>
      </c>
      <c r="P12" s="34">
        <f t="shared" si="0"/>
        <v>296879.99</v>
      </c>
      <c r="Q12" s="34">
        <f t="shared" si="1"/>
        <v>73830.01000000001</v>
      </c>
    </row>
    <row r="13" spans="1:17" ht="17.25">
      <c r="A13" s="31" t="s">
        <v>79</v>
      </c>
      <c r="B13" s="68">
        <v>521894</v>
      </c>
      <c r="C13" s="33">
        <f>11.62+9432.33+3371.13+159014.81</f>
        <v>171829.89</v>
      </c>
      <c r="D13" s="68">
        <v>16449</v>
      </c>
      <c r="E13" s="33">
        <f>2094.98+49+1179.58</f>
        <v>3323.56</v>
      </c>
      <c r="F13" s="68">
        <v>55000</v>
      </c>
      <c r="G13" s="33">
        <f>70+1905.54+163</f>
        <v>2138.54</v>
      </c>
      <c r="H13" s="68">
        <v>102000</v>
      </c>
      <c r="I13" s="33">
        <f>2261.81+3986.62+16905.45</f>
        <v>23153.88</v>
      </c>
      <c r="J13" s="68">
        <v>0</v>
      </c>
      <c r="K13" s="33">
        <f>153.17+791.19</f>
        <v>944.36</v>
      </c>
      <c r="L13" s="68">
        <v>0</v>
      </c>
      <c r="M13" s="33">
        <v>0</v>
      </c>
      <c r="N13" s="68">
        <v>0</v>
      </c>
      <c r="O13" s="37">
        <f>20163.69+834.54</f>
        <v>20998.23</v>
      </c>
      <c r="P13" s="34">
        <f>+O13+K13+I13+G13+E13+C13</f>
        <v>222388.46000000002</v>
      </c>
      <c r="Q13" s="34">
        <f>+B13+D13+F13+H13+J13+N13-P13+L13</f>
        <v>472954.54</v>
      </c>
    </row>
    <row r="14" spans="1:17" ht="17.25">
      <c r="A14" s="31" t="s">
        <v>78</v>
      </c>
      <c r="B14" s="68">
        <v>300165</v>
      </c>
      <c r="C14" s="33">
        <f>10.19+1246.01+90967.72</f>
        <v>92223.92</v>
      </c>
      <c r="D14" s="68">
        <v>35000</v>
      </c>
      <c r="E14" s="33">
        <v>0</v>
      </c>
      <c r="F14" s="68">
        <v>646000</v>
      </c>
      <c r="G14" s="33">
        <f>26471.35+57167.5+9768.56+75818.49</f>
        <v>169225.90000000002</v>
      </c>
      <c r="H14" s="68">
        <v>3000</v>
      </c>
      <c r="I14" s="33">
        <f>5300+18377.5</f>
        <v>23677.5</v>
      </c>
      <c r="J14" s="68">
        <v>0</v>
      </c>
      <c r="K14" s="33">
        <v>110.29</v>
      </c>
      <c r="L14" s="68">
        <v>0</v>
      </c>
      <c r="M14" s="33">
        <v>0</v>
      </c>
      <c r="N14" s="68">
        <v>0</v>
      </c>
      <c r="O14" s="37">
        <v>31335.46</v>
      </c>
      <c r="P14" s="34">
        <f t="shared" si="0"/>
        <v>316573.07</v>
      </c>
      <c r="Q14" s="34">
        <f t="shared" si="1"/>
        <v>667591.9299999999</v>
      </c>
    </row>
    <row r="15" spans="1:17" ht="17.25">
      <c r="A15" s="31" t="s">
        <v>108</v>
      </c>
      <c r="B15" s="32">
        <v>64247</v>
      </c>
      <c r="C15" s="33">
        <f>67.11+430.34+18090.2</f>
        <v>18587.65</v>
      </c>
      <c r="D15" s="32">
        <v>2000</v>
      </c>
      <c r="E15" s="33">
        <v>0</v>
      </c>
      <c r="F15" s="32">
        <v>6300</v>
      </c>
      <c r="G15" s="33">
        <f>5947.02+988.75</f>
        <v>6935.77</v>
      </c>
      <c r="H15" s="32">
        <v>0</v>
      </c>
      <c r="I15" s="33">
        <v>0</v>
      </c>
      <c r="J15" s="32">
        <v>0</v>
      </c>
      <c r="K15" s="33">
        <v>0</v>
      </c>
      <c r="L15" s="68">
        <v>0</v>
      </c>
      <c r="M15" s="37">
        <v>0</v>
      </c>
      <c r="N15" s="32">
        <v>0</v>
      </c>
      <c r="O15" s="37">
        <v>2644.05</v>
      </c>
      <c r="P15" s="34">
        <f t="shared" si="0"/>
        <v>28167.47</v>
      </c>
      <c r="Q15" s="34">
        <f t="shared" si="1"/>
        <v>44379.53</v>
      </c>
    </row>
    <row r="16" spans="1:17" ht="18" thickBot="1">
      <c r="A16" s="38" t="s">
        <v>11</v>
      </c>
      <c r="B16" s="39">
        <f aca="true" t="shared" si="2" ref="B16:Q16">SUM(B7:B15)</f>
        <v>3442204</v>
      </c>
      <c r="C16" s="40">
        <f t="shared" si="2"/>
        <v>1074996.91</v>
      </c>
      <c r="D16" s="39">
        <f t="shared" si="2"/>
        <v>89214</v>
      </c>
      <c r="E16" s="40">
        <f t="shared" si="2"/>
        <v>20869.91</v>
      </c>
      <c r="F16" s="39">
        <f t="shared" si="2"/>
        <v>1528614</v>
      </c>
      <c r="G16" s="40">
        <f t="shared" si="2"/>
        <v>515926.69</v>
      </c>
      <c r="H16" s="39">
        <f t="shared" si="2"/>
        <v>510000</v>
      </c>
      <c r="I16" s="40">
        <f t="shared" si="2"/>
        <v>395651.80000000005</v>
      </c>
      <c r="J16" s="39">
        <f t="shared" si="2"/>
        <v>5000</v>
      </c>
      <c r="K16" s="40">
        <f t="shared" si="2"/>
        <v>237849.03000000003</v>
      </c>
      <c r="L16" s="39">
        <f t="shared" si="2"/>
        <v>0</v>
      </c>
      <c r="M16" s="40">
        <f t="shared" si="2"/>
        <v>2667.9900000000002</v>
      </c>
      <c r="N16" s="39">
        <f t="shared" si="2"/>
        <v>250000</v>
      </c>
      <c r="O16" s="40">
        <f t="shared" si="2"/>
        <v>229992.59999999998</v>
      </c>
      <c r="P16" s="42">
        <f t="shared" si="2"/>
        <v>2477954.93</v>
      </c>
      <c r="Q16" s="42">
        <f t="shared" si="2"/>
        <v>3347077.07</v>
      </c>
    </row>
    <row r="17" spans="1:17" ht="17.25" thickBot="1">
      <c r="A17" s="43" t="s">
        <v>31</v>
      </c>
      <c r="B17" s="44"/>
      <c r="C17" s="143">
        <f>+C16/B16</f>
        <v>0.31229901249315845</v>
      </c>
      <c r="D17" s="46"/>
      <c r="E17" s="143">
        <f>+E16/D16</f>
        <v>0.23393088528706257</v>
      </c>
      <c r="F17" s="143"/>
      <c r="G17" s="143">
        <f>+G16/F16</f>
        <v>0.33751273375750845</v>
      </c>
      <c r="H17" s="143"/>
      <c r="I17" s="143">
        <f>+I16/H16</f>
        <v>0.775787843137255</v>
      </c>
      <c r="J17" s="143"/>
      <c r="K17" s="143">
        <f>+K16/J16</f>
        <v>47.56980600000001</v>
      </c>
      <c r="L17" s="152"/>
      <c r="M17" s="152"/>
      <c r="N17" s="143"/>
      <c r="O17" s="153">
        <f>+O16/N16</f>
        <v>0.9199703999999999</v>
      </c>
      <c r="P17" s="58"/>
      <c r="Q17" s="58"/>
    </row>
    <row r="18" spans="1:17" ht="8.25" customHeight="1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16.5">
      <c r="P19" s="5"/>
    </row>
    <row r="21" ht="17.25">
      <c r="P21" s="69"/>
    </row>
    <row r="22" ht="16.5">
      <c r="P22" s="70"/>
    </row>
    <row r="23" ht="16.5">
      <c r="P23" s="58"/>
    </row>
    <row r="24" ht="16.5">
      <c r="P24" s="58"/>
    </row>
    <row r="25" ht="16.5">
      <c r="P25" s="58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ht="16.5">
      <c r="C48" s="48"/>
    </row>
    <row r="50" spans="1:4" ht="16.5">
      <c r="A50" s="62" t="s">
        <v>27</v>
      </c>
      <c r="B50" s="71" t="s">
        <v>28</v>
      </c>
      <c r="C50" s="62" t="s">
        <v>29</v>
      </c>
      <c r="D50" s="62"/>
    </row>
    <row r="51" spans="1:3" ht="17.25">
      <c r="A51" s="64">
        <f>+B16</f>
        <v>3442204</v>
      </c>
      <c r="B51" s="65">
        <f>+C16</f>
        <v>1074996.91</v>
      </c>
      <c r="C51" s="62" t="s">
        <v>1</v>
      </c>
    </row>
    <row r="52" spans="1:3" ht="17.25">
      <c r="A52" s="64">
        <f>+D16</f>
        <v>89214</v>
      </c>
      <c r="B52" s="65">
        <f>+E16</f>
        <v>20869.91</v>
      </c>
      <c r="C52" s="62" t="s">
        <v>2</v>
      </c>
    </row>
    <row r="53" spans="1:3" ht="17.25">
      <c r="A53" s="64">
        <f>+F16</f>
        <v>1528614</v>
      </c>
      <c r="B53" s="65">
        <f>+G16</f>
        <v>515926.69</v>
      </c>
      <c r="C53" s="62" t="s">
        <v>3</v>
      </c>
    </row>
    <row r="54" spans="1:3" ht="17.25">
      <c r="A54" s="64">
        <f>+H16</f>
        <v>510000</v>
      </c>
      <c r="B54" s="65">
        <f>+I16</f>
        <v>395651.80000000005</v>
      </c>
      <c r="C54" s="62" t="s">
        <v>35</v>
      </c>
    </row>
    <row r="55" spans="1:3" ht="17.25">
      <c r="A55" s="64">
        <f>+J16</f>
        <v>5000</v>
      </c>
      <c r="B55" s="65">
        <f>+K16</f>
        <v>237849.03000000003</v>
      </c>
      <c r="C55" s="62" t="s">
        <v>33</v>
      </c>
    </row>
    <row r="56" spans="1:3" ht="17.25">
      <c r="A56" s="64">
        <v>0</v>
      </c>
      <c r="B56" s="65">
        <f>+M16</f>
        <v>2667.9900000000002</v>
      </c>
      <c r="C56" s="62" t="s">
        <v>104</v>
      </c>
    </row>
    <row r="57" spans="1:3" ht="17.25">
      <c r="A57" s="64">
        <f>+N16</f>
        <v>250000</v>
      </c>
      <c r="B57" s="65">
        <f>+O16</f>
        <v>229992.59999999998</v>
      </c>
      <c r="C57" s="62" t="s">
        <v>36</v>
      </c>
    </row>
    <row r="58" spans="1:3" ht="17.25">
      <c r="A58" s="64"/>
      <c r="B58" s="64"/>
      <c r="C58" s="62"/>
    </row>
    <row r="59" spans="1:3" ht="17.25">
      <c r="A59" s="64">
        <v>866913</v>
      </c>
      <c r="B59" s="65">
        <v>406071.92</v>
      </c>
      <c r="C59" s="62"/>
    </row>
    <row r="60" spans="1:3" ht="17.25">
      <c r="A60" s="64"/>
      <c r="B60" s="64"/>
      <c r="C60" s="62"/>
    </row>
    <row r="61" spans="1:2" ht="17.25">
      <c r="A61" s="64"/>
      <c r="B61" s="64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8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F20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0.57421875" style="1" customWidth="1"/>
    <col min="4" max="4" width="7.851562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9.28125" style="1" customWidth="1"/>
    <col min="12" max="12" width="7.57421875" style="1" customWidth="1"/>
    <col min="13" max="13" width="9.28125" style="1" customWidth="1"/>
    <col min="14" max="14" width="9.421875" style="1" customWidth="1"/>
    <col min="15" max="16" width="11.8515625" style="1" customWidth="1"/>
    <col min="17" max="17" width="12.140625" style="1" customWidth="1"/>
    <col min="18" max="16384" width="11.421875" style="1" customWidth="1"/>
  </cols>
  <sheetData>
    <row r="1" spans="14:15" ht="16.5">
      <c r="N1" s="72"/>
      <c r="O1" s="72"/>
    </row>
    <row r="2" spans="1:15" ht="18">
      <c r="A2" s="151" t="s">
        <v>0</v>
      </c>
      <c r="B2" s="164" t="s">
        <v>109</v>
      </c>
      <c r="C2" s="175"/>
      <c r="D2" s="175"/>
      <c r="E2" s="175"/>
      <c r="F2" s="175"/>
      <c r="G2" s="155"/>
      <c r="L2" s="173" t="s">
        <v>24</v>
      </c>
      <c r="M2" s="174"/>
      <c r="N2" s="158">
        <v>40269</v>
      </c>
      <c r="O2" s="73"/>
    </row>
    <row r="3" spans="2:5" ht="12.7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75" t="s">
        <v>133</v>
      </c>
      <c r="I5" s="75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31" t="s">
        <v>15</v>
      </c>
      <c r="B7" s="32">
        <v>605403</v>
      </c>
      <c r="C7" s="33">
        <f>2299.08+94855+230.04+17516.47+1266.1+45764.93+450.93+21463.47+2.82+11264.58</f>
        <v>195113.41999999998</v>
      </c>
      <c r="D7" s="68">
        <v>2500</v>
      </c>
      <c r="E7" s="33">
        <v>6</v>
      </c>
      <c r="F7" s="68">
        <v>97353</v>
      </c>
      <c r="G7" s="33">
        <f>522.72+6088.77</f>
        <v>6611.490000000001</v>
      </c>
      <c r="H7" s="68">
        <v>0</v>
      </c>
      <c r="I7" s="33">
        <v>0</v>
      </c>
      <c r="J7" s="68">
        <v>4070</v>
      </c>
      <c r="K7" s="33">
        <v>3619.29</v>
      </c>
      <c r="L7" s="68">
        <v>0</v>
      </c>
      <c r="M7" s="33">
        <v>0</v>
      </c>
      <c r="N7" s="68">
        <v>306720</v>
      </c>
      <c r="O7" s="33">
        <v>60676.96</v>
      </c>
      <c r="P7" s="34">
        <f>+C7+E7+G7+K7+O7+I7</f>
        <v>266027.16</v>
      </c>
      <c r="Q7" s="34">
        <f aca="true" t="shared" si="0" ref="Q7:Q13">+B7+D7+F7+J7+N7+H7-P7</f>
        <v>750018.8400000001</v>
      </c>
    </row>
    <row r="8" spans="1:17" ht="17.25">
      <c r="A8" s="31" t="s">
        <v>6</v>
      </c>
      <c r="B8" s="32">
        <v>218528</v>
      </c>
      <c r="C8" s="33">
        <f>1637.14+73422.86+269.42+22482.02</f>
        <v>97811.44</v>
      </c>
      <c r="D8" s="68">
        <v>1000</v>
      </c>
      <c r="E8" s="33">
        <v>65</v>
      </c>
      <c r="F8" s="68">
        <v>1130050</v>
      </c>
      <c r="G8" s="33">
        <f>12655.8+205936.46</f>
        <v>218592.25999999998</v>
      </c>
      <c r="H8" s="68">
        <v>0</v>
      </c>
      <c r="I8" s="33">
        <v>0</v>
      </c>
      <c r="J8" s="68">
        <v>0</v>
      </c>
      <c r="K8" s="33">
        <v>415</v>
      </c>
      <c r="L8" s="68">
        <v>0</v>
      </c>
      <c r="M8" s="33">
        <v>0</v>
      </c>
      <c r="N8" s="68">
        <v>0</v>
      </c>
      <c r="O8" s="33">
        <v>13746.76</v>
      </c>
      <c r="P8" s="34">
        <f>+C8+E8+G8+K8+O8+I8</f>
        <v>330630.45999999996</v>
      </c>
      <c r="Q8" s="34">
        <f t="shared" si="0"/>
        <v>1018947.54</v>
      </c>
    </row>
    <row r="9" spans="1:17" ht="17.25">
      <c r="A9" s="31" t="s">
        <v>103</v>
      </c>
      <c r="B9" s="32">
        <v>812169</v>
      </c>
      <c r="C9" s="33">
        <f>3056.28+146471.97+873.81+45418.04+1151.13+11916.09+1999.37+30008.29</f>
        <v>240894.98</v>
      </c>
      <c r="D9" s="68">
        <v>5000</v>
      </c>
      <c r="E9" s="33">
        <f>60+70</f>
        <v>130</v>
      </c>
      <c r="F9" s="68">
        <v>60931</v>
      </c>
      <c r="G9" s="33">
        <f>3431.5+11437.44</f>
        <v>14868.94</v>
      </c>
      <c r="H9" s="68">
        <v>0</v>
      </c>
      <c r="I9" s="33">
        <v>0</v>
      </c>
      <c r="J9" s="68">
        <v>16000</v>
      </c>
      <c r="K9" s="33">
        <f>11508.25+7201.88</f>
        <v>18710.13</v>
      </c>
      <c r="L9" s="68">
        <v>0</v>
      </c>
      <c r="M9" s="33">
        <v>0</v>
      </c>
      <c r="N9" s="68">
        <v>0</v>
      </c>
      <c r="O9" s="33">
        <v>44125.13</v>
      </c>
      <c r="P9" s="34">
        <f>+C9+E9+G9+K9+O9+I9</f>
        <v>318729.18</v>
      </c>
      <c r="Q9" s="34">
        <f t="shared" si="0"/>
        <v>575370.8200000001</v>
      </c>
    </row>
    <row r="10" spans="1:17" ht="17.25">
      <c r="A10" s="31" t="s">
        <v>7</v>
      </c>
      <c r="B10" s="32">
        <v>352266</v>
      </c>
      <c r="C10" s="33">
        <f>1571.85+84001.11+191.2+2565.97+52.82+6846.94</f>
        <v>95229.89000000001</v>
      </c>
      <c r="D10" s="68">
        <v>6720</v>
      </c>
      <c r="E10" s="33">
        <f>73.31+3403.22</f>
        <v>3476.5299999999997</v>
      </c>
      <c r="F10" s="68">
        <v>3500</v>
      </c>
      <c r="G10" s="33">
        <v>32</v>
      </c>
      <c r="H10" s="68">
        <v>0</v>
      </c>
      <c r="I10" s="33">
        <v>0</v>
      </c>
      <c r="J10" s="68">
        <v>0</v>
      </c>
      <c r="K10" s="33">
        <v>230</v>
      </c>
      <c r="L10" s="68">
        <v>0</v>
      </c>
      <c r="M10" s="33">
        <v>173.94</v>
      </c>
      <c r="N10" s="68">
        <v>0</v>
      </c>
      <c r="O10" s="33">
        <v>12716.21</v>
      </c>
      <c r="P10" s="34">
        <f>+C10+E10+G10+K10+O10+I10+M10</f>
        <v>111858.57</v>
      </c>
      <c r="Q10" s="34">
        <f t="shared" si="0"/>
        <v>250627.43</v>
      </c>
    </row>
    <row r="11" spans="1:17" ht="17.25">
      <c r="A11" s="31" t="s">
        <v>9</v>
      </c>
      <c r="B11" s="32">
        <v>674011</v>
      </c>
      <c r="C11" s="33">
        <f>3532.4+149996.63</f>
        <v>153529.03</v>
      </c>
      <c r="D11" s="68">
        <v>0</v>
      </c>
      <c r="E11" s="33">
        <f>430+213.18</f>
        <v>643.1800000000001</v>
      </c>
      <c r="F11" s="68">
        <v>116833</v>
      </c>
      <c r="G11" s="33">
        <f>1509.5+102272.71</f>
        <v>103782.21</v>
      </c>
      <c r="H11" s="68">
        <v>0</v>
      </c>
      <c r="I11" s="33">
        <v>0</v>
      </c>
      <c r="J11" s="68">
        <v>0</v>
      </c>
      <c r="K11" s="33">
        <v>0</v>
      </c>
      <c r="L11" s="68">
        <v>0</v>
      </c>
      <c r="M11" s="33">
        <v>0</v>
      </c>
      <c r="N11" s="68">
        <v>0</v>
      </c>
      <c r="O11" s="33">
        <v>20206.19</v>
      </c>
      <c r="P11" s="34">
        <f>+C11+E11+G11+K11+O11+I11</f>
        <v>278160.61</v>
      </c>
      <c r="Q11" s="34">
        <f t="shared" si="0"/>
        <v>512683.39</v>
      </c>
    </row>
    <row r="12" spans="1:17" ht="17.25">
      <c r="A12" s="31" t="s">
        <v>8</v>
      </c>
      <c r="B12" s="32">
        <v>675785</v>
      </c>
      <c r="C12" s="33">
        <f>15375.33+125517.05+377.15+13088.49+1283.7+17548.72</f>
        <v>173190.44</v>
      </c>
      <c r="D12" s="68">
        <v>254360</v>
      </c>
      <c r="E12" s="33">
        <f>15252.92+75916.9</f>
        <v>91169.81999999999</v>
      </c>
      <c r="F12" s="68">
        <v>42574</v>
      </c>
      <c r="G12" s="33">
        <f>1135+120410.31</f>
        <v>121545.31</v>
      </c>
      <c r="H12" s="68">
        <v>0</v>
      </c>
      <c r="I12" s="33">
        <v>0</v>
      </c>
      <c r="J12" s="68">
        <v>0</v>
      </c>
      <c r="K12" s="33">
        <v>0</v>
      </c>
      <c r="L12" s="68">
        <v>0</v>
      </c>
      <c r="M12" s="33">
        <v>0</v>
      </c>
      <c r="N12" s="68">
        <v>0</v>
      </c>
      <c r="O12" s="33">
        <v>55720.48</v>
      </c>
      <c r="P12" s="34">
        <f>+C12+E12+G12+K12+O12+I12+M12</f>
        <v>441626.05</v>
      </c>
      <c r="Q12" s="34">
        <f t="shared" si="0"/>
        <v>531092.95</v>
      </c>
    </row>
    <row r="13" spans="1:17" ht="17.25">
      <c r="A13" s="31" t="s">
        <v>10</v>
      </c>
      <c r="B13" s="32">
        <v>140718</v>
      </c>
      <c r="C13" s="33">
        <f>399.13+39967.94</f>
        <v>40367.07</v>
      </c>
      <c r="D13" s="68">
        <v>500</v>
      </c>
      <c r="E13" s="33">
        <v>54.75</v>
      </c>
      <c r="F13" s="68">
        <v>10300</v>
      </c>
      <c r="G13" s="33">
        <v>2804.86</v>
      </c>
      <c r="H13" s="68">
        <v>0</v>
      </c>
      <c r="I13" s="33">
        <v>0</v>
      </c>
      <c r="J13" s="68">
        <v>0</v>
      </c>
      <c r="K13" s="33">
        <f>166+193.85</f>
        <v>359.85</v>
      </c>
      <c r="L13" s="68">
        <v>0</v>
      </c>
      <c r="M13" s="33">
        <v>0</v>
      </c>
      <c r="N13" s="68">
        <v>0</v>
      </c>
      <c r="O13" s="33">
        <v>3600.1</v>
      </c>
      <c r="P13" s="34">
        <f>+C13+E13+G13+K13+O13+I13</f>
        <v>47186.63</v>
      </c>
      <c r="Q13" s="34">
        <f t="shared" si="0"/>
        <v>104331.37</v>
      </c>
    </row>
    <row r="14" spans="1:17" ht="18" thickBot="1">
      <c r="A14" s="38" t="s">
        <v>11</v>
      </c>
      <c r="B14" s="39">
        <f aca="true" t="shared" si="1" ref="B14:Q14">SUM(B7:B13)</f>
        <v>3478880</v>
      </c>
      <c r="C14" s="40">
        <f t="shared" si="1"/>
        <v>996136.2699999999</v>
      </c>
      <c r="D14" s="39">
        <f t="shared" si="1"/>
        <v>270080</v>
      </c>
      <c r="E14" s="40">
        <f t="shared" si="1"/>
        <v>95545.28</v>
      </c>
      <c r="F14" s="77">
        <f t="shared" si="1"/>
        <v>1461541</v>
      </c>
      <c r="G14" s="40">
        <f t="shared" si="1"/>
        <v>468237.06999999995</v>
      </c>
      <c r="H14" s="77">
        <f t="shared" si="1"/>
        <v>0</v>
      </c>
      <c r="I14" s="40">
        <f t="shared" si="1"/>
        <v>0</v>
      </c>
      <c r="J14" s="39">
        <f t="shared" si="1"/>
        <v>20070</v>
      </c>
      <c r="K14" s="40">
        <f t="shared" si="1"/>
        <v>23334.27</v>
      </c>
      <c r="L14" s="39">
        <f>SUM(L7:L13)</f>
        <v>0</v>
      </c>
      <c r="M14" s="40">
        <f>SUM(M7:M13)</f>
        <v>173.94</v>
      </c>
      <c r="N14" s="39">
        <f t="shared" si="1"/>
        <v>306720</v>
      </c>
      <c r="O14" s="40">
        <f t="shared" si="1"/>
        <v>210791.83000000002</v>
      </c>
      <c r="P14" s="42">
        <f t="shared" si="1"/>
        <v>1794218.66</v>
      </c>
      <c r="Q14" s="42">
        <f t="shared" si="1"/>
        <v>3743072.340000001</v>
      </c>
    </row>
    <row r="15" spans="1:17" ht="17.25" thickBot="1">
      <c r="A15" s="43" t="s">
        <v>31</v>
      </c>
      <c r="B15" s="44"/>
      <c r="C15" s="143">
        <f>+C14/B14</f>
        <v>0.28633820942372257</v>
      </c>
      <c r="D15" s="143"/>
      <c r="E15" s="143">
        <f>+E14/D14</f>
        <v>0.3537665876777251</v>
      </c>
      <c r="F15" s="143"/>
      <c r="G15" s="143">
        <f>+G14/F14</f>
        <v>0.3203721756693791</v>
      </c>
      <c r="H15" s="45"/>
      <c r="I15" s="45"/>
      <c r="J15" s="45"/>
      <c r="K15" s="143">
        <f>+K14/J14</f>
        <v>1.162644245142003</v>
      </c>
      <c r="L15" s="47"/>
      <c r="M15" s="47"/>
      <c r="N15" s="47"/>
      <c r="O15" s="145">
        <f>+O14/N14</f>
        <v>0.6872451421491915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4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27</v>
      </c>
      <c r="B48" s="62" t="s">
        <v>28</v>
      </c>
      <c r="C48" s="62" t="s">
        <v>29</v>
      </c>
      <c r="D48" s="5"/>
    </row>
    <row r="49" spans="1:3" ht="16.5">
      <c r="A49" s="1">
        <f>+B14</f>
        <v>3478880</v>
      </c>
      <c r="B49" s="52">
        <f>+C14</f>
        <v>996136.2699999999</v>
      </c>
      <c r="C49" s="62" t="s">
        <v>1</v>
      </c>
    </row>
    <row r="50" spans="1:3" ht="16.5">
      <c r="A50" s="1">
        <f>+D14</f>
        <v>270080</v>
      </c>
      <c r="B50" s="52">
        <f>+E14</f>
        <v>95545.28</v>
      </c>
      <c r="C50" s="62" t="s">
        <v>2</v>
      </c>
    </row>
    <row r="51" spans="1:3" ht="16.5">
      <c r="A51" s="1">
        <f>+F14</f>
        <v>1461541</v>
      </c>
      <c r="B51" s="52">
        <f>+G14</f>
        <v>468237.06999999995</v>
      </c>
      <c r="C51" s="62" t="s">
        <v>3</v>
      </c>
    </row>
    <row r="52" spans="1:3" ht="16.5" hidden="1">
      <c r="A52" s="78">
        <f>+H14</f>
        <v>0</v>
      </c>
      <c r="B52" s="52">
        <f>+I14</f>
        <v>0</v>
      </c>
      <c r="C52" s="62" t="s">
        <v>35</v>
      </c>
    </row>
    <row r="53" spans="1:3" ht="16.5">
      <c r="A53" s="1">
        <f>+J14</f>
        <v>20070</v>
      </c>
      <c r="B53" s="5">
        <f>+K14</f>
        <v>23334.27</v>
      </c>
      <c r="C53" s="62" t="s">
        <v>33</v>
      </c>
    </row>
    <row r="54" spans="1:3" ht="16.5">
      <c r="A54" s="1">
        <v>0</v>
      </c>
      <c r="B54" s="5">
        <f>+M14</f>
        <v>173.94</v>
      </c>
      <c r="C54" s="62" t="s">
        <v>104</v>
      </c>
    </row>
    <row r="55" spans="1:3" ht="17.25">
      <c r="A55" s="1">
        <f>+N14</f>
        <v>306720</v>
      </c>
      <c r="B55" s="65">
        <f>+O14</f>
        <v>210791.83000000002</v>
      </c>
      <c r="C55" s="62" t="s">
        <v>36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N5:O5"/>
    <mergeCell ref="B5:C5"/>
    <mergeCell ref="D5:E5"/>
    <mergeCell ref="F5:G5"/>
    <mergeCell ref="L5:M5"/>
    <mergeCell ref="L2:M2"/>
    <mergeCell ref="B2:F2"/>
    <mergeCell ref="B3:E3"/>
    <mergeCell ref="J5:K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A22">
      <selection activeCell="F36" sqref="F36"/>
    </sheetView>
  </sheetViews>
  <sheetFormatPr defaultColWidth="11.421875" defaultRowHeight="15"/>
  <cols>
    <col min="1" max="1" width="18.421875" style="1" customWidth="1"/>
    <col min="2" max="2" width="9.14062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1.140625" style="1" customWidth="1"/>
    <col min="8" max="8" width="9.140625" style="1" customWidth="1"/>
    <col min="9" max="9" width="11.85156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8.8515625" style="1" customWidth="1"/>
    <col min="14" max="14" width="7.7109375" style="1" customWidth="1"/>
    <col min="15" max="15" width="10.140625" style="1" customWidth="1"/>
    <col min="16" max="16" width="11.8515625" style="1" bestFit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110</v>
      </c>
      <c r="C2" s="164"/>
      <c r="D2" s="169"/>
      <c r="E2" s="169"/>
      <c r="I2" s="173" t="s">
        <v>24</v>
      </c>
      <c r="J2" s="173"/>
      <c r="K2" s="158">
        <v>40269</v>
      </c>
      <c r="L2" s="122"/>
      <c r="M2" s="122"/>
      <c r="N2" s="123"/>
      <c r="O2" s="56"/>
    </row>
    <row r="3" spans="2:4" ht="16.5">
      <c r="B3" s="177"/>
      <c r="C3" s="177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1448146</v>
      </c>
      <c r="C7" s="33">
        <f>253.12+6528.57+5670.75+284290.16+1475.53+22457.72</f>
        <v>320675.85</v>
      </c>
      <c r="D7" s="32">
        <v>23000</v>
      </c>
      <c r="E7" s="33">
        <f>322.9+4764.34</f>
        <v>5087.24</v>
      </c>
      <c r="F7" s="32">
        <v>464070</v>
      </c>
      <c r="G7" s="33">
        <f>15964.46+74956.57+200+2402.4+200+3264.96</f>
        <v>96988.39</v>
      </c>
      <c r="H7" s="32">
        <v>996418</v>
      </c>
      <c r="I7" s="33">
        <f>77509.95+125159.32</f>
        <v>202669.27000000002</v>
      </c>
      <c r="J7" s="32">
        <v>0</v>
      </c>
      <c r="K7" s="33">
        <f>1234.9+119.43</f>
        <v>1354.3300000000002</v>
      </c>
      <c r="L7" s="32">
        <v>0</v>
      </c>
      <c r="M7" s="37">
        <v>198.95</v>
      </c>
      <c r="N7" s="32">
        <v>350000</v>
      </c>
      <c r="O7" s="33">
        <v>152977.93</v>
      </c>
      <c r="P7" s="34">
        <f>+C7+E7+G7+I7+K7+O7+M7</f>
        <v>779951.96</v>
      </c>
      <c r="Q7" s="34">
        <f aca="true" t="shared" si="0" ref="Q7:Q12">+B7+D7+F7+H7+J7+N7-P7</f>
        <v>2501682.04</v>
      </c>
      <c r="R7" s="5"/>
    </row>
    <row r="8" spans="1:18" ht="17.25">
      <c r="A8" s="31" t="s">
        <v>76</v>
      </c>
      <c r="B8" s="32">
        <v>353044</v>
      </c>
      <c r="C8" s="33">
        <f>1945.04+92703.31</f>
        <v>94648.34999999999</v>
      </c>
      <c r="D8" s="32">
        <v>199000</v>
      </c>
      <c r="E8" s="33">
        <f>31845.88+5044.18</f>
        <v>36890.06</v>
      </c>
      <c r="F8" s="32">
        <v>540000</v>
      </c>
      <c r="G8" s="33">
        <f>9008.89+122460.85</f>
        <v>131469.74</v>
      </c>
      <c r="H8" s="32">
        <v>3525000</v>
      </c>
      <c r="I8" s="33">
        <f>108395.81+233197.54</f>
        <v>341593.35</v>
      </c>
      <c r="J8" s="32">
        <v>0</v>
      </c>
      <c r="K8" s="33">
        <v>557.44</v>
      </c>
      <c r="L8" s="32">
        <v>0</v>
      </c>
      <c r="M8" s="37">
        <v>401.33</v>
      </c>
      <c r="N8" s="32">
        <v>0</v>
      </c>
      <c r="O8" s="33">
        <v>65292.38</v>
      </c>
      <c r="P8" s="34">
        <f>+C8+E8+G8+I8+K8+O8+M8</f>
        <v>670852.6499999999</v>
      </c>
      <c r="Q8" s="34">
        <f t="shared" si="0"/>
        <v>3946191.35</v>
      </c>
      <c r="R8" s="5"/>
    </row>
    <row r="9" spans="1:18" ht="17.25">
      <c r="A9" s="31" t="s">
        <v>83</v>
      </c>
      <c r="B9" s="32">
        <v>3664393</v>
      </c>
      <c r="C9" s="33">
        <f>14989.07+692987.69</f>
        <v>707976.7599999999</v>
      </c>
      <c r="D9" s="32">
        <v>0</v>
      </c>
      <c r="E9" s="33">
        <f>575.04+530</f>
        <v>1105.04</v>
      </c>
      <c r="F9" s="32">
        <v>86000</v>
      </c>
      <c r="G9" s="33">
        <f>55242.14+149770.12</f>
        <v>205012.26</v>
      </c>
      <c r="H9" s="32">
        <v>779000</v>
      </c>
      <c r="I9" s="33">
        <f>115132.19+185615.13</f>
        <v>300747.32</v>
      </c>
      <c r="J9" s="32">
        <v>0</v>
      </c>
      <c r="K9" s="33">
        <v>9.14</v>
      </c>
      <c r="L9" s="32">
        <v>0</v>
      </c>
      <c r="M9" s="37">
        <v>234</v>
      </c>
      <c r="N9" s="32">
        <v>0</v>
      </c>
      <c r="O9" s="33">
        <v>95122.79</v>
      </c>
      <c r="P9" s="34">
        <f>+C9+E9+G9+I9+K9+O9+M9</f>
        <v>1310207.3099999998</v>
      </c>
      <c r="Q9" s="34">
        <f t="shared" si="0"/>
        <v>3219185.6900000004</v>
      </c>
      <c r="R9" s="5"/>
    </row>
    <row r="10" spans="1:18" ht="17.25">
      <c r="A10" s="31" t="s">
        <v>127</v>
      </c>
      <c r="B10" s="32">
        <v>27130</v>
      </c>
      <c r="C10" s="33">
        <f>1346.32+4647.87+41944.21+531416.28</f>
        <v>579354.68</v>
      </c>
      <c r="D10" s="32">
        <v>6000</v>
      </c>
      <c r="E10" s="33">
        <v>0</v>
      </c>
      <c r="F10" s="32">
        <v>28500</v>
      </c>
      <c r="G10" s="33">
        <f>882+1224.01+26085.91</f>
        <v>28191.92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>+C10+E10+G10+I10+K10+O10+M10</f>
        <v>607546.6000000001</v>
      </c>
      <c r="Q10" s="34">
        <f t="shared" si="0"/>
        <v>-545916.6000000001</v>
      </c>
      <c r="R10" s="5"/>
    </row>
    <row r="11" spans="1:18" ht="17.25">
      <c r="A11" s="31" t="s">
        <v>111</v>
      </c>
      <c r="B11" s="32">
        <v>572659</v>
      </c>
      <c r="C11" s="33">
        <f>1722.43+37316.61+11927.42+132281.87</f>
        <v>183248.33</v>
      </c>
      <c r="D11" s="32">
        <v>6000</v>
      </c>
      <c r="E11" s="33">
        <v>0</v>
      </c>
      <c r="F11" s="32">
        <v>29000</v>
      </c>
      <c r="G11" s="33">
        <f>2101.7+26125.35</f>
        <v>28227.05</v>
      </c>
      <c r="H11" s="32">
        <v>477000</v>
      </c>
      <c r="I11" s="33">
        <f>62192.49+214041.3</f>
        <v>276233.79</v>
      </c>
      <c r="J11" s="32">
        <v>0</v>
      </c>
      <c r="K11" s="33">
        <v>0</v>
      </c>
      <c r="L11" s="32">
        <v>0</v>
      </c>
      <c r="M11" s="37">
        <v>0</v>
      </c>
      <c r="N11" s="32">
        <v>0</v>
      </c>
      <c r="O11" s="33">
        <v>35645.39</v>
      </c>
      <c r="P11" s="34">
        <f>+C11+E11+G11+I11+K11+O11</f>
        <v>523354.55999999994</v>
      </c>
      <c r="Q11" s="34">
        <f t="shared" si="0"/>
        <v>561304.4400000001</v>
      </c>
      <c r="R11" s="5"/>
    </row>
    <row r="12" spans="1:18" ht="17.25" hidden="1">
      <c r="A12" s="31" t="s">
        <v>77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6065372</v>
      </c>
      <c r="C13" s="40">
        <f t="shared" si="1"/>
        <v>1885903.9700000002</v>
      </c>
      <c r="D13" s="39">
        <f t="shared" si="1"/>
        <v>234000</v>
      </c>
      <c r="E13" s="40">
        <f t="shared" si="1"/>
        <v>43082.34</v>
      </c>
      <c r="F13" s="39">
        <f t="shared" si="1"/>
        <v>1147570</v>
      </c>
      <c r="G13" s="40">
        <f t="shared" si="1"/>
        <v>489889.36</v>
      </c>
      <c r="H13" s="39">
        <f t="shared" si="1"/>
        <v>5777418</v>
      </c>
      <c r="I13" s="40">
        <f t="shared" si="1"/>
        <v>1121243.73</v>
      </c>
      <c r="J13" s="39">
        <f t="shared" si="1"/>
        <v>0</v>
      </c>
      <c r="K13" s="40">
        <f>SUM(K7:K12)</f>
        <v>1920.9100000000003</v>
      </c>
      <c r="L13" s="39">
        <f>SUM(L7:L12)</f>
        <v>0</v>
      </c>
      <c r="M13" s="40">
        <f>SUM(M7:M12)</f>
        <v>834.28</v>
      </c>
      <c r="N13" s="39">
        <f t="shared" si="1"/>
        <v>350000</v>
      </c>
      <c r="O13" s="40">
        <f>SUM(O7:O12)</f>
        <v>349038.49</v>
      </c>
      <c r="P13" s="42">
        <f t="shared" si="1"/>
        <v>3891913.08</v>
      </c>
      <c r="Q13" s="42">
        <f t="shared" si="1"/>
        <v>9682446.920000002</v>
      </c>
      <c r="R13" s="5"/>
    </row>
    <row r="14" spans="1:17" ht="17.25" thickBot="1">
      <c r="A14" s="43" t="s">
        <v>31</v>
      </c>
      <c r="B14" s="44"/>
      <c r="C14" s="143">
        <f>+C13/B13</f>
        <v>0.3109296461948253</v>
      </c>
      <c r="D14" s="45"/>
      <c r="E14" s="143">
        <f>+E13/D13</f>
        <v>0.18411256410256407</v>
      </c>
      <c r="F14" s="45"/>
      <c r="G14" s="143">
        <f>+G13/F13</f>
        <v>0.42689279085371695</v>
      </c>
      <c r="H14" s="45"/>
      <c r="I14" s="143">
        <f>+I13/H13</f>
        <v>0.19407349961522605</v>
      </c>
      <c r="J14" s="45"/>
      <c r="K14" s="143"/>
      <c r="L14" s="47"/>
      <c r="M14" s="47"/>
      <c r="N14" s="45"/>
      <c r="O14" s="145">
        <f>+O13/N13</f>
        <v>0.9972528285714285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33" spans="5:8" ht="16.5">
      <c r="E33" s="59"/>
      <c r="F33" s="59"/>
      <c r="G33" s="60"/>
      <c r="H33" s="60"/>
    </row>
    <row r="34" spans="5:8" ht="16.5">
      <c r="E34" s="61"/>
      <c r="F34" s="61"/>
      <c r="G34" s="61"/>
      <c r="H34" s="61"/>
    </row>
    <row r="39" spans="1:6" ht="16.5">
      <c r="A39" s="53"/>
      <c r="B39" s="53"/>
      <c r="C39" s="53"/>
      <c r="D39" s="53"/>
      <c r="E39" s="53"/>
      <c r="F39" s="53"/>
    </row>
    <row r="40" ht="16.5">
      <c r="C40" s="48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5" ht="16.5">
      <c r="A48" s="62" t="s">
        <v>27</v>
      </c>
      <c r="B48" s="62" t="s">
        <v>28</v>
      </c>
      <c r="C48" s="62" t="s">
        <v>29</v>
      </c>
      <c r="D48" s="62"/>
      <c r="E48" s="63"/>
    </row>
    <row r="49" spans="1:3" ht="17.25">
      <c r="A49" s="64">
        <f>+B13</f>
        <v>6065372</v>
      </c>
      <c r="B49" s="65">
        <f>+C13</f>
        <v>1885903.9700000002</v>
      </c>
      <c r="C49" s="62" t="s">
        <v>1</v>
      </c>
    </row>
    <row r="50" spans="1:3" ht="17.25">
      <c r="A50" s="64">
        <f>+D13</f>
        <v>234000</v>
      </c>
      <c r="B50" s="65">
        <f>+E13</f>
        <v>43082.34</v>
      </c>
      <c r="C50" s="62" t="s">
        <v>2</v>
      </c>
    </row>
    <row r="51" spans="1:3" ht="17.25">
      <c r="A51" s="64">
        <f>+F13</f>
        <v>1147570</v>
      </c>
      <c r="B51" s="65">
        <f>+G13</f>
        <v>489889.36</v>
      </c>
      <c r="C51" s="62" t="s">
        <v>3</v>
      </c>
    </row>
    <row r="52" spans="1:3" ht="17.25">
      <c r="A52" s="64">
        <f>+H13</f>
        <v>5777418</v>
      </c>
      <c r="B52" s="65">
        <f>+I13</f>
        <v>1121243.73</v>
      </c>
      <c r="C52" s="62" t="s">
        <v>35</v>
      </c>
    </row>
    <row r="53" spans="1:3" ht="17.25">
      <c r="A53" s="64">
        <f>+J13</f>
        <v>0</v>
      </c>
      <c r="B53" s="65">
        <f>+K13</f>
        <v>1920.9100000000003</v>
      </c>
      <c r="C53" s="62" t="s">
        <v>33</v>
      </c>
    </row>
    <row r="54" spans="1:3" ht="17.25">
      <c r="A54" s="66">
        <f>+L13</f>
        <v>0</v>
      </c>
      <c r="B54" s="65">
        <f>+M13</f>
        <v>834.28</v>
      </c>
      <c r="C54" s="62" t="s">
        <v>97</v>
      </c>
    </row>
    <row r="55" spans="1:3" ht="17.25">
      <c r="A55" s="64">
        <f>+N13</f>
        <v>350000</v>
      </c>
      <c r="B55" s="65">
        <f>+O13</f>
        <v>349038.49</v>
      </c>
      <c r="C55" s="62" t="s">
        <v>36</v>
      </c>
    </row>
    <row r="56" spans="1:3" ht="17.25">
      <c r="A56" s="64"/>
      <c r="B56" s="64"/>
      <c r="C56" s="62"/>
    </row>
    <row r="57" spans="1:2" ht="16.5">
      <c r="A57" s="1">
        <v>2809993</v>
      </c>
      <c r="B57" s="5">
        <v>749308.3</v>
      </c>
    </row>
  </sheetData>
  <mergeCells count="10">
    <mergeCell ref="I2:J2"/>
    <mergeCell ref="B3:C3"/>
    <mergeCell ref="N5:O5"/>
    <mergeCell ref="J5:K5"/>
    <mergeCell ref="B5:C5"/>
    <mergeCell ref="D5:E5"/>
    <mergeCell ref="F5:G5"/>
    <mergeCell ref="H5:I5"/>
    <mergeCell ref="L5:M5"/>
    <mergeCell ref="B2:E2"/>
  </mergeCells>
  <printOptions/>
  <pageMargins left="0.82" right="0.54" top="0.58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A1">
      <selection activeCell="A19" sqref="A19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0.8515625" style="1" customWidth="1"/>
    <col min="4" max="4" width="7.8515625" style="1" customWidth="1"/>
    <col min="5" max="5" width="9.5742187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00390625" style="1" customWidth="1"/>
    <col min="10" max="10" width="6.7109375" style="1" customWidth="1"/>
    <col min="11" max="11" width="9.140625" style="1" customWidth="1"/>
    <col min="12" max="12" width="9.421875" style="1" customWidth="1"/>
    <col min="13" max="13" width="12.57421875" style="1" customWidth="1"/>
    <col min="14" max="14" width="9.28125" style="1" customWidth="1"/>
    <col min="15" max="15" width="10.140625" style="1" customWidth="1"/>
    <col min="16" max="16" width="12.00390625" style="1" customWidth="1"/>
    <col min="17" max="17" width="12.8515625" style="1" customWidth="1"/>
    <col min="18" max="16384" width="11.421875" style="1" customWidth="1"/>
  </cols>
  <sheetData>
    <row r="2" spans="1:15" ht="18">
      <c r="A2" s="151" t="s">
        <v>0</v>
      </c>
      <c r="B2" s="164" t="s">
        <v>112</v>
      </c>
      <c r="C2" s="179"/>
      <c r="D2" s="179"/>
      <c r="E2" s="169"/>
      <c r="F2" s="169"/>
      <c r="L2" s="173" t="s">
        <v>24</v>
      </c>
      <c r="M2" s="174"/>
      <c r="N2" s="158">
        <v>40269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82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443338</v>
      </c>
      <c r="C7" s="33">
        <f>474.71+97119.37+1072.63+13789.76+436.06+78023.87</f>
        <v>190916.4</v>
      </c>
      <c r="D7" s="32">
        <v>20000</v>
      </c>
      <c r="E7" s="33">
        <f>837.09+4707.77</f>
        <v>5544.860000000001</v>
      </c>
      <c r="F7" s="32">
        <v>177330</v>
      </c>
      <c r="G7" s="33">
        <f>16976.88+58069.74</f>
        <v>75046.62</v>
      </c>
      <c r="H7" s="32">
        <v>150000</v>
      </c>
      <c r="I7" s="37">
        <v>0</v>
      </c>
      <c r="J7" s="32">
        <v>0</v>
      </c>
      <c r="K7" s="33">
        <v>536.71</v>
      </c>
      <c r="L7" s="32">
        <v>0</v>
      </c>
      <c r="M7" s="33">
        <f>19419.78+52194.94</f>
        <v>71614.72</v>
      </c>
      <c r="N7" s="32">
        <v>238016</v>
      </c>
      <c r="O7" s="33">
        <v>65311.09</v>
      </c>
      <c r="P7" s="34">
        <f>+O7+M7+K7+G7+E7+C7+I7</f>
        <v>408970.4</v>
      </c>
      <c r="Q7" s="34">
        <f>+B7+D7+F7+J7+L7+N7-P7+H7</f>
        <v>619713.6</v>
      </c>
      <c r="R7" s="5"/>
    </row>
    <row r="8" spans="1:17" ht="17.25">
      <c r="A8" s="31" t="s">
        <v>14</v>
      </c>
      <c r="B8" s="32">
        <v>1060153</v>
      </c>
      <c r="C8" s="33">
        <f>2460.32+68920.91+3469.69+111892.84+3638.62+99010.86+279.11+12379.82</f>
        <v>302052.17</v>
      </c>
      <c r="D8" s="32">
        <v>18000</v>
      </c>
      <c r="E8" s="33">
        <f>404+612</f>
        <v>1016</v>
      </c>
      <c r="F8" s="79">
        <v>96885</v>
      </c>
      <c r="G8" s="80">
        <f>5096+38565.99</f>
        <v>43661.99</v>
      </c>
      <c r="H8" s="81">
        <v>0</v>
      </c>
      <c r="I8" s="82">
        <v>0</v>
      </c>
      <c r="J8" s="79">
        <v>0</v>
      </c>
      <c r="K8" s="80">
        <v>0</v>
      </c>
      <c r="L8" s="83">
        <v>0</v>
      </c>
      <c r="M8" s="80">
        <v>139.5</v>
      </c>
      <c r="N8" s="83">
        <v>0</v>
      </c>
      <c r="O8" s="80">
        <v>29103.65</v>
      </c>
      <c r="P8" s="34">
        <f>+O8+M8+K8+G8+E8+C8</f>
        <v>375973.31</v>
      </c>
      <c r="Q8" s="34">
        <f>+B8+D8+F8+J8+L8+N8-P8+H8</f>
        <v>799064.69</v>
      </c>
    </row>
    <row r="9" spans="1:18" ht="17.25">
      <c r="A9" s="31" t="s">
        <v>13</v>
      </c>
      <c r="B9" s="32">
        <v>549411</v>
      </c>
      <c r="C9" s="33">
        <f>3638.43+72354.38+1664.43+35555.29+182.4+20412.78</f>
        <v>133807.71</v>
      </c>
      <c r="D9" s="32">
        <v>57000</v>
      </c>
      <c r="E9" s="33">
        <f>628.14+987.28</f>
        <v>1615.42</v>
      </c>
      <c r="F9" s="32">
        <v>232000</v>
      </c>
      <c r="G9" s="33">
        <f>4750+15205+44.19</f>
        <v>19999.19</v>
      </c>
      <c r="H9" s="32">
        <v>8000</v>
      </c>
      <c r="I9" s="37">
        <v>4000</v>
      </c>
      <c r="J9" s="32">
        <v>0</v>
      </c>
      <c r="K9" s="33">
        <f>4031.26+206.1</f>
        <v>4237.360000000001</v>
      </c>
      <c r="L9" s="32">
        <v>2540000</v>
      </c>
      <c r="M9" s="33">
        <f>81272.36+387563.78+6703.69+62722.34</f>
        <v>538262.17</v>
      </c>
      <c r="N9" s="32">
        <v>0</v>
      </c>
      <c r="O9" s="33">
        <v>62983.04</v>
      </c>
      <c r="P9" s="34">
        <f>+O9+M9+K9+G9+E9+C9+I9</f>
        <v>764904.89</v>
      </c>
      <c r="Q9" s="34">
        <f>+B9+D9+F9+J9+L9+N9-P9+H9</f>
        <v>2621506.11</v>
      </c>
      <c r="R9" s="5"/>
    </row>
    <row r="10" spans="1:18" ht="17.25">
      <c r="A10" s="31" t="s">
        <v>81</v>
      </c>
      <c r="B10" s="32">
        <v>968740</v>
      </c>
      <c r="C10" s="33">
        <f>3315.51+111804.17+1083.67+21400.44+4171.71+75498.45+1698.33+37086.92</f>
        <v>256059.19999999995</v>
      </c>
      <c r="D10" s="32">
        <v>93000</v>
      </c>
      <c r="E10" s="33">
        <f>4945.71+38089.2</f>
        <v>43034.909999999996</v>
      </c>
      <c r="F10" s="32">
        <v>1175000</v>
      </c>
      <c r="G10" s="33">
        <f>369.5+221374.51+29.04</f>
        <v>221773.05000000002</v>
      </c>
      <c r="H10" s="32">
        <v>0</v>
      </c>
      <c r="I10" s="37">
        <v>0</v>
      </c>
      <c r="J10" s="32">
        <v>0</v>
      </c>
      <c r="K10" s="33">
        <f>139+2555+368.69</f>
        <v>3062.69</v>
      </c>
      <c r="L10" s="32">
        <v>3670000</v>
      </c>
      <c r="M10" s="33">
        <f>254957.19+406064.64+112.97</f>
        <v>661134.8</v>
      </c>
      <c r="N10" s="32">
        <v>0</v>
      </c>
      <c r="O10" s="33">
        <v>51756.68</v>
      </c>
      <c r="P10" s="34">
        <f>+O10+M10+K10+I10+G10+E10+C10</f>
        <v>1236821.33</v>
      </c>
      <c r="Q10" s="34">
        <f>+N10+L10+J10+H10+F10+D10+B10-P10</f>
        <v>4669918.67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7" ht="18" thickBot="1">
      <c r="A12" s="38" t="s">
        <v>11</v>
      </c>
      <c r="B12" s="39">
        <f aca="true" t="shared" si="0" ref="B12:Q12">SUM(B7:B11)</f>
        <v>3021642</v>
      </c>
      <c r="C12" s="40">
        <f t="shared" si="0"/>
        <v>882835.4799999999</v>
      </c>
      <c r="D12" s="39">
        <f t="shared" si="0"/>
        <v>188000</v>
      </c>
      <c r="E12" s="40">
        <f t="shared" si="0"/>
        <v>51211.189999999995</v>
      </c>
      <c r="F12" s="39">
        <f t="shared" si="0"/>
        <v>1681215</v>
      </c>
      <c r="G12" s="40">
        <f t="shared" si="0"/>
        <v>360480.85</v>
      </c>
      <c r="H12" s="39">
        <f t="shared" si="0"/>
        <v>158000</v>
      </c>
      <c r="I12" s="41">
        <f t="shared" si="0"/>
        <v>4000</v>
      </c>
      <c r="J12" s="39">
        <f t="shared" si="0"/>
        <v>0</v>
      </c>
      <c r="K12" s="40">
        <f t="shared" si="0"/>
        <v>7836.76</v>
      </c>
      <c r="L12" s="39">
        <f t="shared" si="0"/>
        <v>6210000</v>
      </c>
      <c r="M12" s="40">
        <f t="shared" si="0"/>
        <v>1271151.19</v>
      </c>
      <c r="N12" s="39">
        <f t="shared" si="0"/>
        <v>238016</v>
      </c>
      <c r="O12" s="40">
        <f t="shared" si="0"/>
        <v>209154.46</v>
      </c>
      <c r="P12" s="42">
        <f t="shared" si="0"/>
        <v>2786669.93</v>
      </c>
      <c r="Q12" s="42">
        <f t="shared" si="0"/>
        <v>8710203.07</v>
      </c>
    </row>
    <row r="13" spans="1:17" ht="17.25" thickBot="1">
      <c r="A13" s="43" t="s">
        <v>31</v>
      </c>
      <c r="B13" s="44"/>
      <c r="C13" s="143">
        <f>+C12/B12</f>
        <v>0.2921707733742117</v>
      </c>
      <c r="D13" s="45"/>
      <c r="E13" s="143">
        <f>+E12/D12</f>
        <v>0.2723999468085106</v>
      </c>
      <c r="F13" s="45"/>
      <c r="G13" s="143">
        <f>+G12/F12</f>
        <v>0.2144168651838105</v>
      </c>
      <c r="H13" s="45"/>
      <c r="I13" s="143">
        <f>+I12/H12</f>
        <v>0.02531645569620253</v>
      </c>
      <c r="J13" s="45"/>
      <c r="K13" s="143"/>
      <c r="L13" s="45"/>
      <c r="M13" s="143">
        <f>+M12/L12</f>
        <v>0.20469423349436391</v>
      </c>
      <c r="N13" s="47"/>
      <c r="O13" s="145">
        <f>+O12/N12</f>
        <v>0.8787411770637268</v>
      </c>
      <c r="P13" s="58"/>
      <c r="Q13" s="5"/>
    </row>
    <row r="14" spans="16:17" ht="16.5"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27</v>
      </c>
      <c r="B49" s="62" t="s">
        <v>28</v>
      </c>
      <c r="C49" s="62" t="s">
        <v>29</v>
      </c>
      <c r="D49" s="62"/>
      <c r="E49" s="62"/>
    </row>
    <row r="50" spans="1:3" ht="17.25">
      <c r="A50" s="64">
        <f>+B12</f>
        <v>3021642</v>
      </c>
      <c r="B50" s="65">
        <f>+C12</f>
        <v>882835.4799999999</v>
      </c>
      <c r="C50" s="62" t="s">
        <v>1</v>
      </c>
    </row>
    <row r="51" spans="1:3" ht="17.25">
      <c r="A51" s="64">
        <f>+D12</f>
        <v>188000</v>
      </c>
      <c r="B51" s="65">
        <f>+E12</f>
        <v>51211.189999999995</v>
      </c>
      <c r="C51" s="62" t="s">
        <v>2</v>
      </c>
    </row>
    <row r="52" spans="1:3" ht="17.25">
      <c r="A52" s="64">
        <f>+F12</f>
        <v>1681215</v>
      </c>
      <c r="B52" s="65">
        <f>+G12</f>
        <v>360480.85</v>
      </c>
      <c r="C52" s="62" t="s">
        <v>3</v>
      </c>
    </row>
    <row r="53" spans="1:3" ht="17.25">
      <c r="A53" s="66">
        <f>+H12</f>
        <v>158000</v>
      </c>
      <c r="B53" s="65">
        <f>+I12</f>
        <v>4000</v>
      </c>
      <c r="C53" s="62" t="s">
        <v>35</v>
      </c>
    </row>
    <row r="54" spans="1:3" ht="17.25">
      <c r="A54" s="64">
        <f>+J12</f>
        <v>0</v>
      </c>
      <c r="B54" s="65">
        <f>+K12</f>
        <v>7836.76</v>
      </c>
      <c r="C54" s="62" t="s">
        <v>33</v>
      </c>
    </row>
    <row r="55" spans="1:3" ht="17.25">
      <c r="A55" s="64">
        <f>+L12</f>
        <v>6210000</v>
      </c>
      <c r="B55" s="65">
        <f>+M12</f>
        <v>1271151.19</v>
      </c>
      <c r="C55" s="62" t="s">
        <v>30</v>
      </c>
    </row>
    <row r="56" spans="1:3" ht="17.25">
      <c r="A56" s="64">
        <f>+N12</f>
        <v>238016</v>
      </c>
      <c r="B56" s="65">
        <f>+O12</f>
        <v>209154.46</v>
      </c>
      <c r="C56" s="62" t="s">
        <v>36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8" right="0.68" top="0.81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A22">
      <selection activeCell="P15" sqref="P15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9.8515625" style="1" customWidth="1"/>
    <col min="6" max="6" width="9.421875" style="1" customWidth="1"/>
    <col min="7" max="7" width="10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0.28125" style="1" customWidth="1"/>
    <col min="16" max="16" width="12.281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113</v>
      </c>
      <c r="C2" s="179"/>
      <c r="D2" s="179"/>
      <c r="E2" s="179"/>
      <c r="F2" s="175"/>
      <c r="G2" s="175"/>
      <c r="H2" s="175"/>
      <c r="J2" s="21"/>
      <c r="K2" s="173" t="s">
        <v>24</v>
      </c>
      <c r="L2" s="174"/>
      <c r="M2" s="158">
        <v>40269</v>
      </c>
      <c r="O2" s="56"/>
    </row>
    <row r="3" spans="2:16" ht="16.5">
      <c r="B3" s="177"/>
      <c r="C3" s="178"/>
      <c r="D3" s="178"/>
      <c r="E3" s="178"/>
      <c r="F3" s="67"/>
      <c r="P3" s="85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37</v>
      </c>
      <c r="M6" s="172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86" t="s">
        <v>15</v>
      </c>
      <c r="B8" s="32">
        <v>454526</v>
      </c>
      <c r="C8" s="33">
        <f>3223.16+224939.92+1489.13+16259.73+2.82+1713.51+115.75+23276.11</f>
        <v>271020.13000000006</v>
      </c>
      <c r="D8" s="32">
        <v>26000</v>
      </c>
      <c r="E8" s="33">
        <v>624.45</v>
      </c>
      <c r="F8" s="32">
        <v>802000</v>
      </c>
      <c r="G8" s="33">
        <f>67106.14+291858.6</f>
        <v>358964.74</v>
      </c>
      <c r="H8" s="32">
        <v>10000</v>
      </c>
      <c r="I8" s="33">
        <v>0</v>
      </c>
      <c r="J8" s="32">
        <v>10000</v>
      </c>
      <c r="K8" s="33">
        <v>0</v>
      </c>
      <c r="L8" s="32">
        <v>0</v>
      </c>
      <c r="M8" s="37">
        <v>0</v>
      </c>
      <c r="N8" s="32">
        <v>250000</v>
      </c>
      <c r="O8" s="33">
        <v>50838.78</v>
      </c>
      <c r="P8" s="34">
        <f>+O8+K8+G8+E8+C8+I8+M8</f>
        <v>681448.1000000001</v>
      </c>
      <c r="Q8" s="34">
        <f>+B8+D8+F8+H8+J8+N8-P8</f>
        <v>871077.8999999999</v>
      </c>
      <c r="R8" s="5"/>
    </row>
    <row r="9" spans="1:18" ht="17.25">
      <c r="A9" s="86" t="s">
        <v>90</v>
      </c>
      <c r="B9" s="32">
        <v>1657400</v>
      </c>
      <c r="C9" s="33">
        <f>26.28+35397.2+8362.25+195389.48+5589.53+131160.22+3053.44+104730.59</f>
        <v>483708.99</v>
      </c>
      <c r="D9" s="32">
        <v>64720</v>
      </c>
      <c r="E9" s="33">
        <f>2650.47+8184.66+108.9</f>
        <v>10944.029999999999</v>
      </c>
      <c r="F9" s="32">
        <v>167300</v>
      </c>
      <c r="G9" s="33">
        <f>2941.88+31821.19+400+1396.05+950</f>
        <v>37509.12</v>
      </c>
      <c r="H9" s="32">
        <v>0</v>
      </c>
      <c r="I9" s="33">
        <v>0</v>
      </c>
      <c r="J9" s="32">
        <v>0</v>
      </c>
      <c r="K9" s="33">
        <f>624+6670.36</f>
        <v>7294.36</v>
      </c>
      <c r="L9" s="32">
        <v>0</v>
      </c>
      <c r="M9" s="37">
        <v>0</v>
      </c>
      <c r="N9" s="32">
        <v>0</v>
      </c>
      <c r="O9" s="33">
        <v>47136.96</v>
      </c>
      <c r="P9" s="34">
        <f>+O9+K9+G9+E9+C9</f>
        <v>586593.46</v>
      </c>
      <c r="Q9" s="34">
        <f>+B9+D9+F9+H9+J9+N9-P9</f>
        <v>1302826.54</v>
      </c>
      <c r="R9" s="5"/>
    </row>
    <row r="10" spans="1:18" ht="17.25">
      <c r="A10" s="86" t="s">
        <v>89</v>
      </c>
      <c r="B10" s="32">
        <v>1866785</v>
      </c>
      <c r="C10" s="33">
        <f>15326.67+221498.56+22.82+13661.3+37539.39+415566.57</f>
        <v>703615.31</v>
      </c>
      <c r="D10" s="32">
        <v>43500</v>
      </c>
      <c r="E10" s="33">
        <f>15888.46+7575.7</f>
        <v>23464.16</v>
      </c>
      <c r="F10" s="32">
        <v>345500</v>
      </c>
      <c r="G10" s="33">
        <f>105572.3+279991.54+2200+13677.98</f>
        <v>401441.81999999995</v>
      </c>
      <c r="H10" s="32">
        <v>0</v>
      </c>
      <c r="I10" s="33">
        <v>1336.91</v>
      </c>
      <c r="J10" s="32">
        <v>12500</v>
      </c>
      <c r="K10" s="33">
        <f>2349+4429.28+122.39</f>
        <v>6900.67</v>
      </c>
      <c r="L10" s="32">
        <v>0</v>
      </c>
      <c r="M10" s="37">
        <v>0</v>
      </c>
      <c r="N10" s="32">
        <v>0</v>
      </c>
      <c r="O10" s="33">
        <v>67342.7</v>
      </c>
      <c r="P10" s="34">
        <f>+O10+K10+G10+E10+C10+M10+I10</f>
        <v>1204101.5699999998</v>
      </c>
      <c r="Q10" s="34">
        <f>+B10+D10+F10+H10+J10+N10-P10</f>
        <v>1064183.4300000002</v>
      </c>
      <c r="R10" s="5"/>
    </row>
    <row r="11" spans="1:18" ht="17.25">
      <c r="A11" s="86" t="s">
        <v>91</v>
      </c>
      <c r="B11" s="32">
        <v>2568227</v>
      </c>
      <c r="C11" s="33">
        <f>2871.64+23576.15+71188.15+495671.87+4002.79+56028.12</f>
        <v>653338.7200000001</v>
      </c>
      <c r="D11" s="32">
        <v>85500</v>
      </c>
      <c r="E11" s="33">
        <f>3691.04+17427.23+987+443</f>
        <v>22548.27</v>
      </c>
      <c r="F11" s="32">
        <v>148000</v>
      </c>
      <c r="G11" s="33">
        <f>60758.15+47258.9+101.64+999.96+5600.04</f>
        <v>114718.69</v>
      </c>
      <c r="H11" s="32">
        <v>0</v>
      </c>
      <c r="I11" s="33">
        <v>0</v>
      </c>
      <c r="J11" s="32">
        <v>22500</v>
      </c>
      <c r="K11" s="33">
        <v>0</v>
      </c>
      <c r="L11" s="32">
        <v>0</v>
      </c>
      <c r="M11" s="37">
        <v>0</v>
      </c>
      <c r="N11" s="32">
        <v>0</v>
      </c>
      <c r="O11" s="33">
        <v>83259.3</v>
      </c>
      <c r="P11" s="34">
        <f>+O11+K11+G11+E11+C11</f>
        <v>873864.9800000001</v>
      </c>
      <c r="Q11" s="34">
        <f>+B11+D11+F11+H11+J11+N11+L11-P11</f>
        <v>1950362.02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6546938</v>
      </c>
      <c r="C13" s="40">
        <f t="shared" si="0"/>
        <v>2111683.1500000004</v>
      </c>
      <c r="D13" s="39">
        <f t="shared" si="0"/>
        <v>219720</v>
      </c>
      <c r="E13" s="40">
        <f t="shared" si="0"/>
        <v>57580.91</v>
      </c>
      <c r="F13" s="39">
        <f t="shared" si="0"/>
        <v>1462800</v>
      </c>
      <c r="G13" s="40">
        <f t="shared" si="0"/>
        <v>912634.3699999999</v>
      </c>
      <c r="H13" s="39">
        <f t="shared" si="0"/>
        <v>10000</v>
      </c>
      <c r="I13" s="40">
        <f t="shared" si="0"/>
        <v>1336.91</v>
      </c>
      <c r="J13" s="39">
        <f t="shared" si="0"/>
        <v>45000</v>
      </c>
      <c r="K13" s="40">
        <f t="shared" si="0"/>
        <v>14195.029999999999</v>
      </c>
      <c r="L13" s="39">
        <f>SUM(L8:L12)</f>
        <v>0</v>
      </c>
      <c r="M13" s="40">
        <f>SUM(M8:M12)</f>
        <v>0</v>
      </c>
      <c r="N13" s="39">
        <f t="shared" si="0"/>
        <v>250000</v>
      </c>
      <c r="O13" s="40">
        <f t="shared" si="0"/>
        <v>248577.74</v>
      </c>
      <c r="P13" s="87">
        <f t="shared" si="0"/>
        <v>3346008.11</v>
      </c>
      <c r="Q13" s="161">
        <f t="shared" si="0"/>
        <v>5188449.890000001</v>
      </c>
    </row>
    <row r="14" spans="1:17" ht="17.25" thickBot="1">
      <c r="A14" s="38" t="s">
        <v>31</v>
      </c>
      <c r="B14" s="88"/>
      <c r="C14" s="93">
        <f>+C13/B13</f>
        <v>0.3225451577516085</v>
      </c>
      <c r="D14" s="89"/>
      <c r="E14" s="93">
        <f>+E13/D13</f>
        <v>0.26206494629528493</v>
      </c>
      <c r="F14" s="89"/>
      <c r="G14" s="93">
        <f>+G13/F13</f>
        <v>0.6238955222860267</v>
      </c>
      <c r="H14" s="89"/>
      <c r="I14" s="93">
        <f>+I13/H13</f>
        <v>0.133691</v>
      </c>
      <c r="J14" s="89"/>
      <c r="K14" s="93">
        <f>+K13/J13</f>
        <v>0.31544511111111107</v>
      </c>
      <c r="L14" s="90"/>
      <c r="M14" s="47"/>
      <c r="N14" s="45"/>
      <c r="O14" s="145">
        <f>+O13/N13</f>
        <v>0.99431096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27</v>
      </c>
      <c r="B45" s="71" t="s">
        <v>28</v>
      </c>
      <c r="C45" s="91" t="s">
        <v>29</v>
      </c>
      <c r="D45" s="5"/>
      <c r="F45" s="53"/>
    </row>
    <row r="46" spans="1:6" ht="17.25">
      <c r="A46" s="64">
        <f>+B13</f>
        <v>6546938</v>
      </c>
      <c r="B46" s="65">
        <f>+C13</f>
        <v>2111683.1500000004</v>
      </c>
      <c r="C46" s="91" t="s">
        <v>1</v>
      </c>
      <c r="D46" s="5"/>
      <c r="F46" s="53"/>
    </row>
    <row r="47" spans="1:6" ht="17.25">
      <c r="A47" s="64">
        <f>+D13</f>
        <v>219720</v>
      </c>
      <c r="B47" s="65">
        <f>+E13</f>
        <v>57580.91</v>
      </c>
      <c r="C47" s="91" t="s">
        <v>2</v>
      </c>
      <c r="D47" s="5"/>
      <c r="F47" s="53"/>
    </row>
    <row r="48" spans="1:6" ht="17.25">
      <c r="A48" s="64">
        <f>+F13</f>
        <v>1462800</v>
      </c>
      <c r="B48" s="65">
        <f>+G13</f>
        <v>912634.3699999999</v>
      </c>
      <c r="C48" s="91" t="s">
        <v>3</v>
      </c>
      <c r="D48" s="5"/>
      <c r="F48" s="53"/>
    </row>
    <row r="49" spans="1:6" ht="17.25">
      <c r="A49" s="66">
        <f>+H13</f>
        <v>10000</v>
      </c>
      <c r="B49" s="65">
        <f>+I13</f>
        <v>1336.91</v>
      </c>
      <c r="C49" s="92" t="s">
        <v>35</v>
      </c>
      <c r="D49" s="5"/>
      <c r="F49" s="53"/>
    </row>
    <row r="50" spans="1:3" ht="17.25">
      <c r="A50" s="64">
        <f>+J13</f>
        <v>45000</v>
      </c>
      <c r="B50" s="65">
        <f>+K13</f>
        <v>14195.029999999999</v>
      </c>
      <c r="C50" s="62" t="s">
        <v>33</v>
      </c>
    </row>
    <row r="51" spans="1:3" ht="17.25">
      <c r="A51" s="66">
        <f>+L13</f>
        <v>0</v>
      </c>
      <c r="B51" s="65">
        <f>+M13</f>
        <v>0</v>
      </c>
      <c r="C51" s="62" t="s">
        <v>102</v>
      </c>
    </row>
    <row r="52" spans="1:3" ht="17.25">
      <c r="A52" s="64">
        <f>+N13</f>
        <v>250000</v>
      </c>
      <c r="B52" s="65">
        <f>+O13</f>
        <v>248577.74</v>
      </c>
      <c r="C52" s="62" t="s">
        <v>36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K2:L2"/>
    <mergeCell ref="B3:E3"/>
    <mergeCell ref="N6:O6"/>
    <mergeCell ref="J6:K6"/>
    <mergeCell ref="B6:C6"/>
    <mergeCell ref="D6:E6"/>
    <mergeCell ref="F6:G6"/>
    <mergeCell ref="H6:I6"/>
    <mergeCell ref="L6:M6"/>
    <mergeCell ref="B2:H2"/>
  </mergeCells>
  <printOptions/>
  <pageMargins left="0.78" right="0.57" top="0.72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E1">
      <selection activeCell="P14" sqref="P14"/>
    </sheetView>
  </sheetViews>
  <sheetFormatPr defaultColWidth="11.421875" defaultRowHeight="15"/>
  <cols>
    <col min="1" max="1" width="21.00390625" style="1" customWidth="1"/>
    <col min="2" max="2" width="8.00390625" style="1" customWidth="1"/>
    <col min="3" max="3" width="10.57421875" style="1" customWidth="1"/>
    <col min="4" max="4" width="7.7109375" style="1" customWidth="1"/>
    <col min="5" max="5" width="8.7109375" style="1" customWidth="1"/>
    <col min="6" max="6" width="7.8515625" style="1" customWidth="1"/>
    <col min="7" max="7" width="8.7109375" style="1" customWidth="1"/>
    <col min="8" max="8" width="7.57421875" style="1" customWidth="1"/>
    <col min="9" max="9" width="9.8515625" style="1" customWidth="1"/>
    <col min="10" max="10" width="7.28125" style="1" customWidth="1"/>
    <col min="11" max="11" width="9.421875" style="1" customWidth="1"/>
    <col min="12" max="12" width="6.8515625" style="1" customWidth="1"/>
    <col min="13" max="13" width="8.7109375" style="1" customWidth="1"/>
    <col min="14" max="14" width="7.57421875" style="1" customWidth="1"/>
    <col min="15" max="15" width="10.140625" style="1" customWidth="1"/>
    <col min="16" max="16" width="10.8515625" style="1" customWidth="1"/>
    <col min="17" max="17" width="10.57421875" style="1" customWidth="1"/>
    <col min="18" max="16384" width="11.421875" style="1" customWidth="1"/>
  </cols>
  <sheetData>
    <row r="2" spans="1:15" ht="18">
      <c r="A2" s="151" t="s">
        <v>0</v>
      </c>
      <c r="B2" s="164" t="s">
        <v>114</v>
      </c>
      <c r="C2" s="164"/>
      <c r="D2" s="169"/>
      <c r="E2" s="169"/>
      <c r="I2" s="173" t="s">
        <v>24</v>
      </c>
      <c r="J2" s="173"/>
      <c r="K2" s="158">
        <v>40269</v>
      </c>
      <c r="L2" s="125"/>
      <c r="M2" s="125"/>
      <c r="O2" s="23"/>
    </row>
    <row r="3" spans="2:3" ht="16.5">
      <c r="B3" s="177"/>
      <c r="C3" s="177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27" t="s">
        <v>37</v>
      </c>
      <c r="M6" s="75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7" ht="17.25">
      <c r="A8" s="31" t="s">
        <v>98</v>
      </c>
      <c r="B8" s="32">
        <v>687883</v>
      </c>
      <c r="C8" s="33">
        <f>26045.63+229283.23</f>
        <v>255328.86000000002</v>
      </c>
      <c r="D8" s="68">
        <v>58500</v>
      </c>
      <c r="E8" s="33">
        <f>380+2323.69</f>
        <v>2703.69</v>
      </c>
      <c r="F8" s="68">
        <v>212674</v>
      </c>
      <c r="G8" s="33">
        <f>550+5493.71</f>
        <v>6043.71</v>
      </c>
      <c r="H8" s="68">
        <v>99000</v>
      </c>
      <c r="I8" s="33">
        <f>12427.78+44955.52</f>
        <v>57383.299999999996</v>
      </c>
      <c r="J8" s="68">
        <v>6000</v>
      </c>
      <c r="K8" s="33">
        <v>1801</v>
      </c>
      <c r="L8" s="68">
        <v>50000</v>
      </c>
      <c r="M8" s="33">
        <v>0</v>
      </c>
      <c r="N8" s="68">
        <v>50000</v>
      </c>
      <c r="O8" s="33">
        <v>61187.21</v>
      </c>
      <c r="P8" s="34">
        <f>+C8+G8+I8+K8+O8+E8</f>
        <v>384447.77</v>
      </c>
      <c r="Q8" s="34">
        <f>+B8+D8+F8+H8+J8+N8-P8+L8</f>
        <v>779609.23</v>
      </c>
    </row>
    <row r="9" spans="1:17" ht="17.25">
      <c r="A9" s="31" t="s">
        <v>115</v>
      </c>
      <c r="B9" s="32">
        <v>66915</v>
      </c>
      <c r="C9" s="33">
        <f>5176.07+14339.89</f>
        <v>19515.96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v>0</v>
      </c>
      <c r="J9" s="68">
        <v>0</v>
      </c>
      <c r="K9" s="33">
        <v>110.29</v>
      </c>
      <c r="L9" s="68">
        <v>0</v>
      </c>
      <c r="M9" s="33">
        <v>0</v>
      </c>
      <c r="N9" s="68">
        <v>0</v>
      </c>
      <c r="O9" s="33">
        <v>875.57</v>
      </c>
      <c r="P9" s="34">
        <f>+C9+G9+I9+K9+O9+E9</f>
        <v>20501.82</v>
      </c>
      <c r="Q9" s="34">
        <f>+B9+D9+F9+H9+J9+N9-P9</f>
        <v>46413.18</v>
      </c>
    </row>
    <row r="10" spans="1:17" ht="17.25">
      <c r="A10" s="31" t="s">
        <v>116</v>
      </c>
      <c r="B10" s="32">
        <v>43048</v>
      </c>
      <c r="C10" s="33">
        <f>2882.71+8434.86</f>
        <v>11317.57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946.58</v>
      </c>
      <c r="P10" s="34">
        <f>+C10+G10+I10+K10+O10+E10</f>
        <v>12264.15</v>
      </c>
      <c r="Q10" s="34">
        <f>+B10+D10+F10+H10+J10+N10-P10</f>
        <v>30783.85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797846</v>
      </c>
      <c r="C12" s="40">
        <f t="shared" si="0"/>
        <v>286162.39</v>
      </c>
      <c r="D12" s="39">
        <f t="shared" si="0"/>
        <v>58500</v>
      </c>
      <c r="E12" s="40">
        <f t="shared" si="0"/>
        <v>2703.69</v>
      </c>
      <c r="F12" s="39">
        <f t="shared" si="0"/>
        <v>212674</v>
      </c>
      <c r="G12" s="40">
        <f t="shared" si="0"/>
        <v>6043.71</v>
      </c>
      <c r="H12" s="39">
        <f t="shared" si="0"/>
        <v>99000</v>
      </c>
      <c r="I12" s="40">
        <f t="shared" si="0"/>
        <v>57383.299999999996</v>
      </c>
      <c r="J12" s="39">
        <f t="shared" si="0"/>
        <v>6000</v>
      </c>
      <c r="K12" s="40">
        <f t="shared" si="0"/>
        <v>1911.29</v>
      </c>
      <c r="L12" s="39">
        <f t="shared" si="0"/>
        <v>50000</v>
      </c>
      <c r="M12" s="40">
        <f t="shared" si="0"/>
        <v>0</v>
      </c>
      <c r="N12" s="39">
        <f t="shared" si="0"/>
        <v>50000</v>
      </c>
      <c r="O12" s="40">
        <f t="shared" si="0"/>
        <v>63009.36</v>
      </c>
      <c r="P12" s="42">
        <f t="shared" si="0"/>
        <v>417213.74000000005</v>
      </c>
      <c r="Q12" s="42">
        <f t="shared" si="0"/>
        <v>856806.26</v>
      </c>
    </row>
    <row r="13" spans="1:17" ht="17.25" thickBot="1">
      <c r="A13" s="43" t="s">
        <v>31</v>
      </c>
      <c r="B13" s="88"/>
      <c r="C13" s="93">
        <f>+C12/B12</f>
        <v>0.35866870298278114</v>
      </c>
      <c r="D13" s="93"/>
      <c r="E13" s="93">
        <f>+E12/D12</f>
        <v>0.04621692307692308</v>
      </c>
      <c r="F13" s="93"/>
      <c r="G13" s="93">
        <f>+G12/F12</f>
        <v>0.028417719138211534</v>
      </c>
      <c r="H13" s="93"/>
      <c r="I13" s="93">
        <f>+I12/H12</f>
        <v>0.5796292929292929</v>
      </c>
      <c r="J13" s="89"/>
      <c r="K13" s="89">
        <f>+K12/J12</f>
        <v>0.3185483333333333</v>
      </c>
      <c r="L13" s="90"/>
      <c r="M13" s="47">
        <f>+M12/L12</f>
        <v>0</v>
      </c>
      <c r="N13" s="45"/>
      <c r="O13" s="145"/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4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27</v>
      </c>
      <c r="B45" s="71" t="s">
        <v>28</v>
      </c>
      <c r="C45" s="91" t="s">
        <v>29</v>
      </c>
      <c r="D45" s="5"/>
      <c r="H45" s="53"/>
    </row>
    <row r="46" spans="1:8" ht="17.25">
      <c r="A46" s="64">
        <f>+B12</f>
        <v>797846</v>
      </c>
      <c r="B46" s="65">
        <f>+C12</f>
        <v>286162.39</v>
      </c>
      <c r="C46" s="91" t="s">
        <v>1</v>
      </c>
      <c r="D46" s="5"/>
      <c r="H46" s="53"/>
    </row>
    <row r="47" spans="1:8" ht="17.25">
      <c r="A47" s="64">
        <f>+D12</f>
        <v>58500</v>
      </c>
      <c r="B47" s="65">
        <f>+E12</f>
        <v>2703.69</v>
      </c>
      <c r="C47" s="91" t="s">
        <v>2</v>
      </c>
      <c r="D47" s="5"/>
      <c r="H47" s="53"/>
    </row>
    <row r="48" spans="1:8" ht="17.25">
      <c r="A48" s="64">
        <f>+F12</f>
        <v>212674</v>
      </c>
      <c r="B48" s="65">
        <f>+G12</f>
        <v>6043.71</v>
      </c>
      <c r="C48" s="91" t="s">
        <v>3</v>
      </c>
      <c r="D48" s="5"/>
      <c r="H48" s="53"/>
    </row>
    <row r="49" spans="1:3" ht="17.25">
      <c r="A49" s="64">
        <f>+H12</f>
        <v>99000</v>
      </c>
      <c r="B49" s="65">
        <f>+I12</f>
        <v>57383.299999999996</v>
      </c>
      <c r="C49" s="62" t="s">
        <v>35</v>
      </c>
    </row>
    <row r="50" spans="1:3" ht="17.25">
      <c r="A50" s="64">
        <f>+J12</f>
        <v>6000</v>
      </c>
      <c r="B50" s="65">
        <f>+K12</f>
        <v>1911.29</v>
      </c>
      <c r="C50" s="62" t="s">
        <v>33</v>
      </c>
    </row>
    <row r="51" spans="1:3" ht="17.25">
      <c r="A51" s="66">
        <f>+L12</f>
        <v>50000</v>
      </c>
      <c r="B51" s="65">
        <f>+M12</f>
        <v>0</v>
      </c>
      <c r="C51" s="62" t="s">
        <v>97</v>
      </c>
    </row>
    <row r="52" spans="1:3" ht="17.25">
      <c r="A52" s="64">
        <f>+N12</f>
        <v>50000</v>
      </c>
      <c r="B52" s="65">
        <f>+O12</f>
        <v>63009.36</v>
      </c>
      <c r="C52" s="62" t="s">
        <v>36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75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9">
      <selection activeCell="N14" sqref="N14"/>
    </sheetView>
  </sheetViews>
  <sheetFormatPr defaultColWidth="11.421875" defaultRowHeight="15"/>
  <cols>
    <col min="1" max="1" width="10.00390625" style="1" customWidth="1"/>
    <col min="2" max="2" width="8.7109375" style="1" customWidth="1"/>
    <col min="3" max="3" width="9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8515625" style="1" customWidth="1"/>
    <col min="13" max="13" width="9.8515625" style="1" customWidth="1"/>
    <col min="14" max="14" width="10.140625" style="1" customWidth="1"/>
    <col min="15" max="15" width="11.140625" style="1" customWidth="1"/>
    <col min="16" max="16384" width="11.421875" style="1" customWidth="1"/>
  </cols>
  <sheetData>
    <row r="2" spans="1:12" ht="18">
      <c r="A2" s="151" t="s">
        <v>0</v>
      </c>
      <c r="B2" s="164" t="s">
        <v>117</v>
      </c>
      <c r="C2" s="179"/>
      <c r="D2" s="169"/>
      <c r="E2" s="169"/>
      <c r="I2" s="173" t="s">
        <v>24</v>
      </c>
      <c r="J2" s="173"/>
      <c r="K2" s="158">
        <v>40269</v>
      </c>
      <c r="L2" s="20"/>
    </row>
    <row r="3" spans="2:4" ht="16.5">
      <c r="B3" s="177"/>
      <c r="C3" s="178"/>
      <c r="D3" s="96"/>
    </row>
    <row r="5" ht="17.25" thickBot="1"/>
    <row r="6" spans="1:15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34</v>
      </c>
      <c r="M6" s="172"/>
      <c r="N6" s="26" t="s">
        <v>5</v>
      </c>
      <c r="O6" s="26" t="s">
        <v>39</v>
      </c>
    </row>
    <row r="7" spans="1:15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9" t="s">
        <v>26</v>
      </c>
      <c r="O7" s="30" t="s">
        <v>40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92</v>
      </c>
      <c r="B9" s="57">
        <v>260213</v>
      </c>
      <c r="C9" s="33">
        <f>18028.67+60913.01</f>
        <v>78941.68</v>
      </c>
      <c r="D9" s="76">
        <v>2170</v>
      </c>
      <c r="E9" s="33">
        <v>0</v>
      </c>
      <c r="F9" s="76">
        <v>113090</v>
      </c>
      <c r="G9" s="33">
        <f>4200+14574.25</f>
        <v>18774.25</v>
      </c>
      <c r="H9" s="76">
        <v>0</v>
      </c>
      <c r="I9" s="33">
        <v>0</v>
      </c>
      <c r="J9" s="76">
        <v>3000</v>
      </c>
      <c r="K9" s="33">
        <v>0</v>
      </c>
      <c r="L9" s="76">
        <v>15000</v>
      </c>
      <c r="M9" s="33">
        <v>11029.19</v>
      </c>
      <c r="N9" s="34">
        <f>+M9+K9+I9+G9+E9+C9</f>
        <v>108745.12</v>
      </c>
      <c r="O9" s="34">
        <f>+B9+D9+F9+H9+J9+L9-N9</f>
        <v>284727.88</v>
      </c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260213</v>
      </c>
      <c r="C12" s="40">
        <f>SUM(C9)</f>
        <v>78941.68</v>
      </c>
      <c r="D12" s="39">
        <f>SUM(D9:D11)</f>
        <v>2170</v>
      </c>
      <c r="E12" s="40">
        <f>SUM(E9)</f>
        <v>0</v>
      </c>
      <c r="F12" s="39">
        <f>SUM(F9:F11)</f>
        <v>113090</v>
      </c>
      <c r="G12" s="40">
        <f>SUM(G9)</f>
        <v>18774.25</v>
      </c>
      <c r="H12" s="99">
        <f>SUM(H9:H11)</f>
        <v>0</v>
      </c>
      <c r="I12" s="40">
        <v>0</v>
      </c>
      <c r="J12" s="39">
        <f>SUM(J9:J11)</f>
        <v>3000</v>
      </c>
      <c r="K12" s="40">
        <f>SUM(K9)</f>
        <v>0</v>
      </c>
      <c r="L12" s="39">
        <f>SUM(L9:L11)</f>
        <v>15000</v>
      </c>
      <c r="M12" s="40">
        <f>SUM(M9)</f>
        <v>11029.19</v>
      </c>
      <c r="N12" s="42">
        <f>SUM(N9)</f>
        <v>108745.12</v>
      </c>
      <c r="O12" s="42">
        <f>SUM(O9)</f>
        <v>284727.88</v>
      </c>
    </row>
    <row r="13" spans="1:15" ht="17.25" thickBot="1">
      <c r="A13" s="43" t="s">
        <v>31</v>
      </c>
      <c r="B13" s="88"/>
      <c r="C13" s="93">
        <f>+C12/B12</f>
        <v>0.3033733134009446</v>
      </c>
      <c r="D13" s="89"/>
      <c r="E13" s="89">
        <f>+E12/D12</f>
        <v>0</v>
      </c>
      <c r="F13" s="89"/>
      <c r="G13" s="93">
        <f>+G12/F12</f>
        <v>0.1660115836944027</v>
      </c>
      <c r="H13" s="89"/>
      <c r="I13" s="89"/>
      <c r="J13" s="89"/>
      <c r="K13" s="47">
        <f>+K12/J12</f>
        <v>0</v>
      </c>
      <c r="L13" s="45"/>
      <c r="M13" s="145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27</v>
      </c>
      <c r="B48" s="71" t="s">
        <v>28</v>
      </c>
      <c r="C48" s="91" t="s">
        <v>29</v>
      </c>
      <c r="D48" s="5"/>
      <c r="H48" s="53"/>
    </row>
    <row r="49" spans="1:8" ht="17.25">
      <c r="A49" s="65">
        <f>+B12</f>
        <v>260213</v>
      </c>
      <c r="B49" s="65">
        <f>+C12</f>
        <v>78941.68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0</v>
      </c>
      <c r="C50" s="91" t="s">
        <v>2</v>
      </c>
      <c r="D50" s="5"/>
      <c r="H50" s="53"/>
    </row>
    <row r="51" spans="1:8" ht="17.25">
      <c r="A51" s="65">
        <f>+F12</f>
        <v>113090</v>
      </c>
      <c r="B51" s="65">
        <f>+G12</f>
        <v>18774.25</v>
      </c>
      <c r="C51" s="91" t="s">
        <v>3</v>
      </c>
      <c r="D51" s="5"/>
      <c r="H51" s="53"/>
    </row>
    <row r="52" spans="1:3" ht="17.25">
      <c r="A52" s="65">
        <f>+J12</f>
        <v>3000</v>
      </c>
      <c r="B52" s="65">
        <f>+K12</f>
        <v>0</v>
      </c>
      <c r="C52" s="62" t="s">
        <v>33</v>
      </c>
    </row>
    <row r="53" spans="1:3" ht="17.25">
      <c r="A53" s="65">
        <f>+L12</f>
        <v>15000</v>
      </c>
      <c r="B53" s="65">
        <f>+M12</f>
        <v>11029.19</v>
      </c>
      <c r="C53" s="62" t="s">
        <v>36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B16">
      <selection activeCell="P15" sqref="P15"/>
    </sheetView>
  </sheetViews>
  <sheetFormatPr defaultColWidth="11.421875" defaultRowHeight="15"/>
  <cols>
    <col min="1" max="1" width="14.2812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28125" style="1" customWidth="1"/>
    <col min="6" max="6" width="9.421875" style="1" customWidth="1"/>
    <col min="7" max="7" width="11.8515625" style="1" customWidth="1"/>
    <col min="8" max="8" width="7.421875" style="1" customWidth="1"/>
    <col min="9" max="9" width="9.421875" style="1" customWidth="1"/>
    <col min="10" max="10" width="7.14062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9.421875" style="1" customWidth="1"/>
    <col min="15" max="15" width="12.421875" style="1" customWidth="1"/>
    <col min="16" max="16" width="11.8515625" style="1" customWidth="1"/>
    <col min="17" max="17" width="13.00390625" style="1" customWidth="1"/>
    <col min="18" max="16384" width="11.421875" style="1" customWidth="1"/>
  </cols>
  <sheetData>
    <row r="1" spans="1:15" ht="18">
      <c r="A1" s="151" t="s">
        <v>0</v>
      </c>
      <c r="B1" s="164" t="s">
        <v>118</v>
      </c>
      <c r="C1" s="175"/>
      <c r="D1" s="175"/>
      <c r="E1" s="175"/>
      <c r="F1" s="156"/>
      <c r="L1" s="173" t="s">
        <v>24</v>
      </c>
      <c r="M1" s="174"/>
      <c r="N1" s="158">
        <v>40269</v>
      </c>
      <c r="O1" s="23"/>
    </row>
    <row r="2" spans="2:4" ht="4.5" customHeight="1">
      <c r="B2" s="177"/>
      <c r="C2" s="178"/>
      <c r="D2" s="178"/>
    </row>
    <row r="3" ht="17.25" thickBot="1"/>
    <row r="4" spans="1:17" ht="17.25">
      <c r="A4" s="25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35</v>
      </c>
      <c r="I4" s="172"/>
      <c r="J4" s="171" t="s">
        <v>33</v>
      </c>
      <c r="K4" s="172"/>
      <c r="L4" s="171" t="s">
        <v>37</v>
      </c>
      <c r="M4" s="172"/>
      <c r="N4" s="171" t="s">
        <v>34</v>
      </c>
      <c r="O4" s="172"/>
      <c r="P4" s="26" t="s">
        <v>5</v>
      </c>
      <c r="Q4" s="26" t="s">
        <v>39</v>
      </c>
    </row>
    <row r="5" spans="1:17" ht="17.25">
      <c r="A5" s="27"/>
      <c r="B5" s="28" t="s">
        <v>32</v>
      </c>
      <c r="C5" s="28" t="s">
        <v>38</v>
      </c>
      <c r="D5" s="28" t="s">
        <v>32</v>
      </c>
      <c r="E5" s="28" t="s">
        <v>38</v>
      </c>
      <c r="F5" s="28" t="s">
        <v>32</v>
      </c>
      <c r="G5" s="28" t="s">
        <v>38</v>
      </c>
      <c r="H5" s="28" t="s">
        <v>32</v>
      </c>
      <c r="I5" s="28" t="s">
        <v>38</v>
      </c>
      <c r="J5" s="28" t="s">
        <v>32</v>
      </c>
      <c r="K5" s="28" t="s">
        <v>38</v>
      </c>
      <c r="L5" s="28" t="s">
        <v>32</v>
      </c>
      <c r="M5" s="28" t="s">
        <v>38</v>
      </c>
      <c r="N5" s="28" t="s">
        <v>32</v>
      </c>
      <c r="O5" s="28" t="s">
        <v>38</v>
      </c>
      <c r="P5" s="126" t="s">
        <v>26</v>
      </c>
      <c r="Q5" s="30" t="s">
        <v>40</v>
      </c>
    </row>
    <row r="6" spans="1:17" ht="17.25">
      <c r="A6" s="31" t="s">
        <v>15</v>
      </c>
      <c r="B6" s="32">
        <v>987086</v>
      </c>
      <c r="C6" s="33">
        <f>27471.19+258877.76+3903.45+18490.64+1101.9+6421.29</f>
        <v>316266.23000000004</v>
      </c>
      <c r="D6" s="68">
        <v>13500</v>
      </c>
      <c r="E6" s="33">
        <f>3132.36+15031.16</f>
        <v>18163.52</v>
      </c>
      <c r="F6" s="68">
        <v>359590</v>
      </c>
      <c r="G6" s="33">
        <f>16330.96+73076.7</f>
        <v>89407.66</v>
      </c>
      <c r="H6" s="68">
        <v>44400</v>
      </c>
      <c r="I6" s="33">
        <f>8176.16+21053.23</f>
        <v>29229.39</v>
      </c>
      <c r="J6" s="68">
        <v>0</v>
      </c>
      <c r="K6" s="33">
        <v>2647.71</v>
      </c>
      <c r="L6" s="68">
        <v>0</v>
      </c>
      <c r="M6" s="33">
        <f>2913.99+4205.98</f>
        <v>7119.969999999999</v>
      </c>
      <c r="N6" s="68">
        <v>775264</v>
      </c>
      <c r="O6" s="33">
        <v>254407.74</v>
      </c>
      <c r="P6" s="34">
        <f aca="true" t="shared" si="0" ref="P6:P12">+O6+M6+K6+I6+G6+E6+C6</f>
        <v>717242.22</v>
      </c>
      <c r="Q6" s="34">
        <f aca="true" t="shared" si="1" ref="Q6:Q12">+B6+D6+F6+H6+J6+L6+N6-P6</f>
        <v>1462597.78</v>
      </c>
    </row>
    <row r="7" spans="1:17" ht="17.25">
      <c r="A7" s="31" t="s">
        <v>119</v>
      </c>
      <c r="B7" s="32">
        <v>1085238</v>
      </c>
      <c r="C7" s="33">
        <f>22.82+5164.58+19325.59+137709.6+4205.22+41048.32+24986.52+59104.19</f>
        <v>291566.83999999997</v>
      </c>
      <c r="D7" s="68">
        <v>65912</v>
      </c>
      <c r="E7" s="33">
        <f>5266.95+4846.72</f>
        <v>10113.67</v>
      </c>
      <c r="F7" s="68">
        <v>244575</v>
      </c>
      <c r="G7" s="33">
        <f>60587.5+22629.79</f>
        <v>83217.29000000001</v>
      </c>
      <c r="H7" s="68">
        <v>0</v>
      </c>
      <c r="I7" s="33">
        <v>272.1</v>
      </c>
      <c r="J7" s="68">
        <v>3000</v>
      </c>
      <c r="K7" s="33">
        <v>2496.89</v>
      </c>
      <c r="L7" s="68">
        <v>23000</v>
      </c>
      <c r="M7" s="33">
        <v>294.57</v>
      </c>
      <c r="N7" s="68">
        <v>0</v>
      </c>
      <c r="O7" s="33">
        <v>29854.71</v>
      </c>
      <c r="P7" s="34">
        <f>+O7+M7+K7+I7+G7+E7+C7</f>
        <v>417816.06999999995</v>
      </c>
      <c r="Q7" s="34">
        <f t="shared" si="1"/>
        <v>1003908.93</v>
      </c>
    </row>
    <row r="8" spans="1:17" ht="17.25">
      <c r="A8" s="31" t="s">
        <v>120</v>
      </c>
      <c r="B8" s="32">
        <v>3969640</v>
      </c>
      <c r="C8" s="33">
        <f>51757.81+1065913.77</f>
        <v>1117671.58</v>
      </c>
      <c r="D8" s="68">
        <v>483500</v>
      </c>
      <c r="E8" s="33">
        <f>85297.64+429076.21</f>
        <v>514373.85000000003</v>
      </c>
      <c r="F8" s="68">
        <v>765550</v>
      </c>
      <c r="G8" s="33">
        <f>139312.09+259681.61</f>
        <v>398993.69999999995</v>
      </c>
      <c r="H8" s="68">
        <v>0</v>
      </c>
      <c r="I8" s="33">
        <v>0</v>
      </c>
      <c r="J8" s="68">
        <v>0</v>
      </c>
      <c r="K8" s="33">
        <v>11250</v>
      </c>
      <c r="L8" s="68">
        <v>0</v>
      </c>
      <c r="M8" s="33">
        <v>30000</v>
      </c>
      <c r="N8" s="68">
        <v>0</v>
      </c>
      <c r="O8" s="33">
        <v>173086.36</v>
      </c>
      <c r="P8" s="34">
        <f t="shared" si="0"/>
        <v>2245375.49</v>
      </c>
      <c r="Q8" s="34">
        <f t="shared" si="1"/>
        <v>2973314.51</v>
      </c>
    </row>
    <row r="9" spans="1:17" ht="17.25">
      <c r="A9" s="31" t="s">
        <v>41</v>
      </c>
      <c r="B9" s="32">
        <v>1773070</v>
      </c>
      <c r="C9" s="33">
        <f>120600.11+386286.7+3035.1+8311.43</f>
        <v>518233.33999999997</v>
      </c>
      <c r="D9" s="68">
        <v>485900</v>
      </c>
      <c r="E9" s="33">
        <f>81608.46+164820.13+2415.4</f>
        <v>248843.99000000002</v>
      </c>
      <c r="F9" s="68">
        <v>156200</v>
      </c>
      <c r="G9" s="33">
        <f>3724+42596.27</f>
        <v>46320.27</v>
      </c>
      <c r="H9" s="68">
        <v>0</v>
      </c>
      <c r="I9" s="33">
        <v>0</v>
      </c>
      <c r="J9" s="68">
        <v>0</v>
      </c>
      <c r="K9" s="33">
        <f>360+588</f>
        <v>948</v>
      </c>
      <c r="L9" s="68">
        <v>16000</v>
      </c>
      <c r="M9" s="33">
        <v>5257.59</v>
      </c>
      <c r="N9" s="68">
        <v>0</v>
      </c>
      <c r="O9" s="33">
        <v>106432.95</v>
      </c>
      <c r="P9" s="34">
        <f t="shared" si="0"/>
        <v>926036.14</v>
      </c>
      <c r="Q9" s="34">
        <f t="shared" si="1"/>
        <v>1505133.8599999999</v>
      </c>
    </row>
    <row r="10" spans="1:17" ht="17.25">
      <c r="A10" s="31" t="s">
        <v>121</v>
      </c>
      <c r="B10" s="32">
        <v>86085</v>
      </c>
      <c r="C10" s="33">
        <f>7219.16+16565.78</f>
        <v>23784.94</v>
      </c>
      <c r="D10" s="100">
        <v>346600</v>
      </c>
      <c r="E10" s="80">
        <f>5593.24+27848.2</f>
        <v>33441.44</v>
      </c>
      <c r="F10" s="100">
        <v>0</v>
      </c>
      <c r="G10" s="80">
        <f>1640+2880</f>
        <v>4520</v>
      </c>
      <c r="H10" s="100">
        <v>0</v>
      </c>
      <c r="I10" s="80">
        <v>0</v>
      </c>
      <c r="J10" s="100">
        <v>5000</v>
      </c>
      <c r="K10" s="80">
        <v>0</v>
      </c>
      <c r="L10" s="100">
        <v>200000</v>
      </c>
      <c r="M10" s="80">
        <v>95150.5</v>
      </c>
      <c r="N10" s="100">
        <v>0</v>
      </c>
      <c r="O10" s="80">
        <v>8508.33</v>
      </c>
      <c r="P10" s="34">
        <f t="shared" si="0"/>
        <v>165405.21000000002</v>
      </c>
      <c r="Q10" s="34">
        <f t="shared" si="1"/>
        <v>472279.79</v>
      </c>
    </row>
    <row r="11" spans="1:17" ht="17.25">
      <c r="A11" s="31" t="s">
        <v>122</v>
      </c>
      <c r="B11" s="32">
        <v>374455</v>
      </c>
      <c r="C11" s="33">
        <f>29134.76+107350.89</f>
        <v>136485.65</v>
      </c>
      <c r="D11" s="68">
        <v>230000</v>
      </c>
      <c r="E11" s="33">
        <f>1419.43+154854.66</f>
        <v>156274.09</v>
      </c>
      <c r="F11" s="68">
        <v>1500000</v>
      </c>
      <c r="G11" s="33">
        <f>82200+602026.4</f>
        <v>684226.4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0</v>
      </c>
      <c r="N11" s="100">
        <v>0</v>
      </c>
      <c r="O11" s="33">
        <v>164400</v>
      </c>
      <c r="P11" s="34">
        <f t="shared" si="0"/>
        <v>1141386.14</v>
      </c>
      <c r="Q11" s="34">
        <f t="shared" si="1"/>
        <v>963068.8600000001</v>
      </c>
    </row>
    <row r="12" spans="1:17" ht="17.25">
      <c r="A12" s="31" t="s">
        <v>80</v>
      </c>
      <c r="B12" s="32">
        <v>4010583</v>
      </c>
      <c r="C12" s="33">
        <f>228304.45+669258.52+25467.94+82407.39+2771.37+10381.9+5160.54+17356.01</f>
        <v>1041108.12</v>
      </c>
      <c r="D12" s="68">
        <v>192446</v>
      </c>
      <c r="E12" s="33">
        <f>19734.95+97753.77</f>
        <v>117488.72</v>
      </c>
      <c r="F12" s="68">
        <v>202900</v>
      </c>
      <c r="G12" s="33">
        <f>21321.57+140096.09+6627.66+10528.07</f>
        <v>178573.39</v>
      </c>
      <c r="H12" s="68">
        <v>2000</v>
      </c>
      <c r="I12" s="33">
        <v>3815.36</v>
      </c>
      <c r="J12" s="68">
        <v>8500</v>
      </c>
      <c r="K12" s="33">
        <f>13390.93+15659</f>
        <v>29049.93</v>
      </c>
      <c r="L12" s="68">
        <v>216600</v>
      </c>
      <c r="M12" s="33">
        <f>9241.47+63352.26</f>
        <v>72593.73</v>
      </c>
      <c r="N12" s="68">
        <v>0</v>
      </c>
      <c r="O12" s="33">
        <v>86009.5</v>
      </c>
      <c r="P12" s="34">
        <f t="shared" si="0"/>
        <v>1528638.75</v>
      </c>
      <c r="Q12" s="34">
        <f t="shared" si="1"/>
        <v>3104390.25</v>
      </c>
    </row>
    <row r="13" spans="1:17" ht="18" thickBot="1">
      <c r="A13" s="38" t="s">
        <v>11</v>
      </c>
      <c r="B13" s="39">
        <f aca="true" t="shared" si="2" ref="B13:Q13">SUM(B6:B12)</f>
        <v>12286157</v>
      </c>
      <c r="C13" s="40">
        <f t="shared" si="2"/>
        <v>3445116.7</v>
      </c>
      <c r="D13" s="39">
        <f t="shared" si="2"/>
        <v>1817858</v>
      </c>
      <c r="E13" s="40">
        <f t="shared" si="2"/>
        <v>1098699.28</v>
      </c>
      <c r="F13" s="39">
        <f t="shared" si="2"/>
        <v>3228815</v>
      </c>
      <c r="G13" s="40">
        <f t="shared" si="2"/>
        <v>1485258.71</v>
      </c>
      <c r="H13" s="39">
        <f t="shared" si="2"/>
        <v>46400</v>
      </c>
      <c r="I13" s="40">
        <f t="shared" si="2"/>
        <v>33316.85</v>
      </c>
      <c r="J13" s="39">
        <f t="shared" si="2"/>
        <v>16500</v>
      </c>
      <c r="K13" s="40">
        <f t="shared" si="2"/>
        <v>46392.53</v>
      </c>
      <c r="L13" s="39">
        <f t="shared" si="2"/>
        <v>455600</v>
      </c>
      <c r="M13" s="40">
        <f t="shared" si="2"/>
        <v>210416.36</v>
      </c>
      <c r="N13" s="39">
        <f t="shared" si="2"/>
        <v>775264</v>
      </c>
      <c r="O13" s="40">
        <f t="shared" si="2"/>
        <v>822699.59</v>
      </c>
      <c r="P13" s="42">
        <f t="shared" si="2"/>
        <v>7141900.02</v>
      </c>
      <c r="Q13" s="42">
        <f t="shared" si="2"/>
        <v>11484693.98</v>
      </c>
    </row>
    <row r="14" spans="1:17" ht="17.25" thickBot="1">
      <c r="A14" s="38" t="s">
        <v>31</v>
      </c>
      <c r="B14" s="88"/>
      <c r="C14" s="93">
        <f>+C13/B13</f>
        <v>0.2804063711704156</v>
      </c>
      <c r="D14" s="93"/>
      <c r="E14" s="93">
        <f>+E13/D13</f>
        <v>0.6043922462590587</v>
      </c>
      <c r="F14" s="93"/>
      <c r="G14" s="93">
        <f>+G13/F13</f>
        <v>0.4600011799994735</v>
      </c>
      <c r="H14" s="93"/>
      <c r="I14" s="93">
        <f>+I13/H13</f>
        <v>0.7180355603448275</v>
      </c>
      <c r="J14" s="93"/>
      <c r="K14" s="93">
        <f>+K13/J13</f>
        <v>2.811668484848485</v>
      </c>
      <c r="L14" s="154"/>
      <c r="M14" s="152">
        <f>+M13/L13</f>
        <v>0.4618445127304653</v>
      </c>
      <c r="N14" s="45"/>
      <c r="O14" s="145">
        <f>+O13/N13</f>
        <v>1.0611863700623272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5"/>
    </row>
    <row r="16" ht="16.5"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27</v>
      </c>
      <c r="B49" s="71" t="s">
        <v>28</v>
      </c>
      <c r="C49" s="62" t="s">
        <v>29</v>
      </c>
      <c r="D49" s="62"/>
    </row>
    <row r="50" spans="1:3" ht="17.25">
      <c r="A50" s="64">
        <f>+B13</f>
        <v>12286157</v>
      </c>
      <c r="B50" s="65">
        <f>+C13</f>
        <v>3445116.7</v>
      </c>
      <c r="C50" s="62" t="s">
        <v>1</v>
      </c>
    </row>
    <row r="51" spans="1:3" ht="17.25">
      <c r="A51" s="64">
        <f>+D13</f>
        <v>1817858</v>
      </c>
      <c r="B51" s="65">
        <f>+E13</f>
        <v>1098699.28</v>
      </c>
      <c r="C51" s="62" t="s">
        <v>2</v>
      </c>
    </row>
    <row r="52" spans="1:3" ht="17.25">
      <c r="A52" s="64">
        <f>+F13</f>
        <v>3228815</v>
      </c>
      <c r="B52" s="65">
        <f>+G13</f>
        <v>1485258.71</v>
      </c>
      <c r="C52" s="62" t="s">
        <v>3</v>
      </c>
    </row>
    <row r="53" spans="1:3" ht="17.25">
      <c r="A53" s="66">
        <f>+H13</f>
        <v>46400</v>
      </c>
      <c r="B53" s="65">
        <f>+I13</f>
        <v>33316.85</v>
      </c>
      <c r="C53" s="62" t="s">
        <v>35</v>
      </c>
    </row>
    <row r="54" spans="1:3" ht="17.25">
      <c r="A54" s="66">
        <f>+J13</f>
        <v>16500</v>
      </c>
      <c r="B54" s="65">
        <f>+K13</f>
        <v>46392.53</v>
      </c>
      <c r="C54" s="62" t="s">
        <v>33</v>
      </c>
    </row>
    <row r="55" spans="1:3" ht="17.25">
      <c r="A55" s="64">
        <f>+L13</f>
        <v>455600</v>
      </c>
      <c r="B55" s="65">
        <f>+M13</f>
        <v>210416.36</v>
      </c>
      <c r="C55" s="62" t="s">
        <v>30</v>
      </c>
    </row>
    <row r="56" spans="1:3" ht="17.25">
      <c r="A56" s="64">
        <f>+N13</f>
        <v>775264</v>
      </c>
      <c r="B56" s="65">
        <f>+O13</f>
        <v>822699.59</v>
      </c>
      <c r="C56" s="62" t="s">
        <v>36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N4:O4"/>
    <mergeCell ref="B4:C4"/>
    <mergeCell ref="D4:E4"/>
    <mergeCell ref="F4:G4"/>
    <mergeCell ref="H4:I4"/>
    <mergeCell ref="B2:D2"/>
    <mergeCell ref="J4:K4"/>
    <mergeCell ref="L4:M4"/>
    <mergeCell ref="L1:M1"/>
    <mergeCell ref="B1:E1"/>
  </mergeCells>
  <printOptions/>
  <pageMargins left="0.66" right="0.52" top="0.72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2010-05-27T12:25:44Z</cp:lastPrinted>
  <dcterms:created xsi:type="dcterms:W3CDTF">2000-04-26T12:06:38Z</dcterms:created>
  <dcterms:modified xsi:type="dcterms:W3CDTF">2010-05-27T12:25:45Z</dcterms:modified>
  <cp:category/>
  <cp:version/>
  <cp:contentType/>
  <cp:contentStatus/>
</cp:coreProperties>
</file>