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77" activeTab="4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." sheetId="10" r:id="rId10"/>
    <sheet name="DEP.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<sst xmlns="http://schemas.openxmlformats.org/spreadsheetml/2006/main" count="554" uniqueCount="140">
  <si>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</si>
  <si>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</si>
  <si>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</si>
  <si>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</si>
  <si>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</si>
  <si>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</si>
  <si>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</si>
  <si>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</si>
  <si>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</si>
  <si>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</si>
  <si>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</si>
  <si>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</si>
  <si>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Dir.Planeamiento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</si>
  <si>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</si>
  <si>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</si>
  <si>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</si>
  <si>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</si>
  <si>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</si>
  <si>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</si>
  <si>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</si>
  <si>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</si>
  <si>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</si>
  <si>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</si>
  <si>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</si>
  <si>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</si>
  <si>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</si>
  <si>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</si>
  <si>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</si>
  <si>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</si>
  <si>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</si>
  <si>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</si>
  <si>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</si>
  <si>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</si>
  <si>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</si>
  <si>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</si>
  <si>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</si>
  <si>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</si>
  <si>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</si>
  <si>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</si>
  <si>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</si>
  <si>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</si>
  <si>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</si>
  <si>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</si>
  <si>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</si>
  <si>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</si>
  <si>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</si>
  <si>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</si>
  <si>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</si>
  <si>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</si>
  <si>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</si>
  <si>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</si>
  <si>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</si>
  <si>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</si>
  <si>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</si>
  <si>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</si>
  <si>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</si>
  <si>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</si>
  <si>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</si>
  <si>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</si>
  <si>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</si>
  <si>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</si>
  <si>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</si>
  <si>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</si>
  <si>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</si>
  <si>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</si>
  <si>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</si>
  <si>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</si>
  <si>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</si>
  <si>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</si>
  <si>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</si>
  <si>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</si>
  <si>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</si>
  <si>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</si>
  <si>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</si>
  <si>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</si>
  <si>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</si>
  <si>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</si>
  <si>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</si>
  <si>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</si>
  <si>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</si>
  <si>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</si>
  <si>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</si>
  <si>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</si>
  <si>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</si>
  <si>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</si>
  <si>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</si>
  <si>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</si>
  <si>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</si>
  <si>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</si>
  <si>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</si>
  <si>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</si>
  <si>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</si>
  <si>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</si>
  <si>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</si>
  <si>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Centro Cultural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</si>
  <si>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</si>
  <si>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</si>
  <si>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</si>
  <si>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</si>
  <si>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</si>
  <si>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</si>
  <si>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</si>
  <si>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</si>
  <si>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</si>
  <si>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</si>
  <si>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</si>
  <si>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</si>
  <si>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</si>
  <si>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</si>
  <si>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 ECONOMÍA  Y  HACIENDA</t>
  </si>
  <si>
    <t>SECRETARIA DE ACCIÓN  SOCIAL</t>
  </si>
  <si>
    <t>Dir. Tercera Edad</t>
  </si>
  <si>
    <t>SECRETARIA DE FISCALIZACIÓN Y  ORGANIZACIÓN  INTERNA</t>
  </si>
  <si>
    <t>CONCEJO  DELIBERANTE</t>
  </si>
  <si>
    <t>Bloque Frente Grande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</si>
  <si>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</si>
  <si>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</si>
  <si>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</si>
  <si>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</si>
  <si>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</si>
  <si>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</si>
  <si>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</si>
  <si>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</si>
  <si>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</si>
  <si>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</si>
  <si>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</si>
  <si>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</si>
  <si>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</si>
  <si>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</si>
  <si>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</si>
  <si>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</si>
  <si>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</si>
  <si>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 xml:space="preserve">                TRANSF. CTES.</t>
  </si>
  <si>
    <t>Coord.Artes Dramáticas</t>
  </si>
  <si>
    <t>Coord.Artes Sonoras</t>
  </si>
  <si>
    <t>Coord.Relac.Culturales</t>
  </si>
  <si>
    <t>Coord.Artes Visuales</t>
  </si>
  <si>
    <t>Coord. Artes del Movim.</t>
  </si>
  <si>
    <t>Coord. Talleres Barriales</t>
  </si>
  <si>
    <t>SECRETARIA  DE OBRAS  PÚBLICAS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</si>
</sst>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1">
    <font>
      <sz val="11"/>
      <name val="Garamond"/>
      <family val="0"/>
    </font>
    <font>
      <sz val="20.5"/>
      <name val="Garamond"/>
      <family val="0"/>
    </font>
    <font>
      <sz val="21.75"/>
      <name val="Garamond"/>
      <family val="0"/>
    </font>
    <font>
      <sz val="23.5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22.5"/>
      <name val="Garamond"/>
      <family val="0"/>
    </font>
    <font>
      <sz val="21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22"/>
      <name val="Garamond"/>
      <family val="0"/>
    </font>
    <font>
      <sz val="20.25"/>
      <name val="Garamond"/>
      <family val="0"/>
    </font>
    <font>
      <sz val="8"/>
      <name val="Garamond"/>
      <family val="0"/>
    </font>
    <font>
      <sz val="29"/>
      <name val="Garamond"/>
      <family val="0"/>
    </font>
    <font>
      <sz val="29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1.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i/>
      <u val="single"/>
      <sz val="10.25"/>
      <name val="Trebuchet MS"/>
      <family val="2"/>
    </font>
    <font>
      <b/>
      <sz val="7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6.75"/>
      <name val="Trebuchet MS"/>
      <family val="2"/>
    </font>
    <font>
      <b/>
      <sz val="4.75"/>
      <name val="Trebuchet MS"/>
      <family val="2"/>
    </font>
    <font>
      <sz val="11"/>
      <color indexed="20"/>
      <name val="Garamond"/>
      <family val="0"/>
    </font>
    <font>
      <b/>
      <sz val="5"/>
      <name val="Trebuchet MS"/>
      <family val="2"/>
    </font>
    <font>
      <sz val="12"/>
      <color indexed="20"/>
      <name val="Garamond"/>
      <family val="0"/>
    </font>
    <font>
      <b/>
      <sz val="7"/>
      <name val="Trebuchet MS"/>
      <family val="2"/>
    </font>
    <font>
      <b/>
      <sz val="6.5"/>
      <name val="Trebuchet MS"/>
      <family val="2"/>
    </font>
    <font>
      <b/>
      <sz val="7.5"/>
      <name val="Trebuchet MS"/>
      <family val="2"/>
    </font>
    <font>
      <b/>
      <sz val="5.75"/>
      <name val="Trebuchet MS"/>
      <family val="2"/>
    </font>
    <font>
      <b/>
      <sz val="6"/>
      <name val="Trebuchet MS"/>
      <family val="2"/>
    </font>
    <font>
      <b/>
      <i/>
      <sz val="12"/>
      <color indexed="18"/>
      <name val="Trebuchet MS"/>
      <family val="2"/>
    </font>
    <font>
      <i/>
      <sz val="12"/>
      <color indexed="18"/>
      <name val="Garamond"/>
      <family val="0"/>
    </font>
    <font>
      <i/>
      <sz val="11"/>
      <color indexed="18"/>
      <name val="Garamond"/>
      <family val="0"/>
    </font>
    <font>
      <i/>
      <sz val="12"/>
      <color indexed="18"/>
      <name val="Trebuchet MS"/>
      <family val="2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>
        <color indexed="63"/>
      </right>
      <top style="double"/>
      <bottom style="double"/>
    </border>
    <border>
      <left style="dotted"/>
      <right style="dotted"/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double"/>
      <right style="hair"/>
      <top>
        <color indexed="63"/>
      </top>
      <bottom>
        <color indexed="63"/>
      </bottom>
    </border>
    <border>
      <left style="slantDashDot"/>
      <right style="slantDashDot"/>
      <top style="thin"/>
      <bottom style="slantDashDot"/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1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21" fillId="0" borderId="0" xfId="0" applyNumberFormat="1" applyFont="1" applyAlignment="1">
      <alignment/>
    </xf>
    <xf numFmtId="0" fontId="22" fillId="0" borderId="4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7" xfId="0" applyFont="1" applyBorder="1" applyAlignment="1">
      <alignment/>
    </xf>
    <xf numFmtId="9" fontId="21" fillId="0" borderId="0" xfId="0" applyNumberFormat="1" applyFont="1" applyAlignment="1">
      <alignment/>
    </xf>
    <xf numFmtId="4" fontId="15" fillId="0" borderId="8" xfId="0" applyNumberFormat="1" applyFont="1" applyBorder="1" applyAlignment="1">
      <alignment/>
    </xf>
    <xf numFmtId="10" fontId="15" fillId="0" borderId="8" xfId="0" applyNumberFormat="1" applyFont="1" applyBorder="1" applyAlignment="1">
      <alignment/>
    </xf>
    <xf numFmtId="10" fontId="15" fillId="0" borderId="9" xfId="0" applyNumberFormat="1" applyFont="1" applyBorder="1" applyAlignment="1">
      <alignment/>
    </xf>
    <xf numFmtId="10" fontId="15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" fontId="15" fillId="0" borderId="13" xfId="0" applyNumberFormat="1" applyFont="1" applyBorder="1" applyAlignment="1">
      <alignment/>
    </xf>
    <xf numFmtId="17" fontId="2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17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32" fillId="0" borderId="20" xfId="0" applyFont="1" applyBorder="1" applyAlignment="1">
      <alignment/>
    </xf>
    <xf numFmtId="3" fontId="32" fillId="0" borderId="21" xfId="0" applyNumberFormat="1" applyFont="1" applyBorder="1" applyAlignment="1">
      <alignment/>
    </xf>
    <xf numFmtId="4" fontId="33" fillId="0" borderId="22" xfId="0" applyNumberFormat="1" applyFont="1" applyBorder="1" applyAlignment="1">
      <alignment/>
    </xf>
    <xf numFmtId="4" fontId="33" fillId="0" borderId="23" xfId="0" applyNumberFormat="1" applyFont="1" applyBorder="1" applyAlignment="1">
      <alignment/>
    </xf>
    <xf numFmtId="0" fontId="32" fillId="0" borderId="21" xfId="0" applyFont="1" applyBorder="1" applyAlignment="1">
      <alignment/>
    </xf>
    <xf numFmtId="4" fontId="21" fillId="0" borderId="22" xfId="0" applyNumberFormat="1" applyFont="1" applyBorder="1" applyAlignment="1">
      <alignment/>
    </xf>
    <xf numFmtId="4" fontId="33" fillId="0" borderId="21" xfId="0" applyNumberFormat="1" applyFont="1" applyBorder="1" applyAlignment="1">
      <alignment/>
    </xf>
    <xf numFmtId="0" fontId="20" fillId="0" borderId="24" xfId="0" applyFont="1" applyBorder="1" applyAlignment="1">
      <alignment/>
    </xf>
    <xf numFmtId="3" fontId="15" fillId="0" borderId="25" xfId="0" applyNumberFormat="1" applyFont="1" applyBorder="1" applyAlignment="1">
      <alignment/>
    </xf>
    <xf numFmtId="4" fontId="33" fillId="0" borderId="26" xfId="0" applyNumberFormat="1" applyFont="1" applyBorder="1" applyAlignment="1">
      <alignment/>
    </xf>
    <xf numFmtId="4" fontId="33" fillId="0" borderId="25" xfId="0" applyNumberFormat="1" applyFont="1" applyBorder="1" applyAlignment="1">
      <alignment/>
    </xf>
    <xf numFmtId="4" fontId="33" fillId="0" borderId="27" xfId="0" applyNumberFormat="1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9" fontId="21" fillId="0" borderId="30" xfId="19" applyFont="1" applyBorder="1" applyAlignment="1">
      <alignment/>
    </xf>
    <xf numFmtId="9" fontId="21" fillId="0" borderId="30" xfId="19" applyNumberFormat="1" applyFont="1" applyBorder="1" applyAlignment="1">
      <alignment/>
    </xf>
    <xf numFmtId="9" fontId="21" fillId="0" borderId="31" xfId="19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9" fontId="21" fillId="0" borderId="0" xfId="19" applyFont="1" applyBorder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171" fontId="33" fillId="0" borderId="0" xfId="15" applyFont="1" applyAlignment="1">
      <alignment/>
    </xf>
    <xf numFmtId="17" fontId="31" fillId="0" borderId="0" xfId="0" applyNumberFormat="1" applyFont="1" applyAlignment="1">
      <alignment/>
    </xf>
    <xf numFmtId="3" fontId="33" fillId="0" borderId="21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3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2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3" fontId="32" fillId="0" borderId="22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38" fillId="0" borderId="0" xfId="0" applyFont="1" applyAlignment="1">
      <alignment/>
    </xf>
    <xf numFmtId="17" fontId="39" fillId="0" borderId="0" xfId="0" applyNumberFormat="1" applyFont="1" applyAlignment="1">
      <alignment/>
    </xf>
    <xf numFmtId="2" fontId="32" fillId="0" borderId="0" xfId="0" applyNumberFormat="1" applyFont="1" applyAlignment="1">
      <alignment/>
    </xf>
    <xf numFmtId="0" fontId="15" fillId="0" borderId="32" xfId="0" applyFont="1" applyBorder="1" applyAlignment="1">
      <alignment horizontal="center"/>
    </xf>
    <xf numFmtId="3" fontId="33" fillId="0" borderId="22" xfId="0" applyNumberFormat="1" applyFont="1" applyBorder="1" applyAlignment="1">
      <alignment/>
    </xf>
    <xf numFmtId="3" fontId="15" fillId="0" borderId="25" xfId="15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32" fillId="0" borderId="21" xfId="0" applyNumberFormat="1" applyFont="1" applyFill="1" applyBorder="1" applyAlignment="1">
      <alignment/>
    </xf>
    <xf numFmtId="4" fontId="33" fillId="0" borderId="22" xfId="0" applyNumberFormat="1" applyFont="1" applyFill="1" applyBorder="1" applyAlignment="1">
      <alignment/>
    </xf>
    <xf numFmtId="3" fontId="33" fillId="0" borderId="21" xfId="0" applyNumberFormat="1" applyFon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4" fontId="32" fillId="0" borderId="23" xfId="0" applyNumberFormat="1" applyFont="1" applyBorder="1" applyAlignment="1">
      <alignment/>
    </xf>
    <xf numFmtId="17" fontId="21" fillId="0" borderId="0" xfId="0" applyNumberFormat="1" applyFont="1" applyAlignment="1">
      <alignment/>
    </xf>
    <xf numFmtId="0" fontId="33" fillId="0" borderId="20" xfId="0" applyFont="1" applyBorder="1" applyAlignment="1">
      <alignment/>
    </xf>
    <xf numFmtId="4" fontId="33" fillId="0" borderId="33" xfId="0" applyNumberFormat="1" applyFont="1" applyBorder="1" applyAlignment="1">
      <alignment/>
    </xf>
    <xf numFmtId="0" fontId="20" fillId="0" borderId="25" xfId="0" applyFont="1" applyBorder="1" applyAlignment="1">
      <alignment/>
    </xf>
    <xf numFmtId="9" fontId="21" fillId="0" borderId="26" xfId="19" applyFont="1" applyBorder="1" applyAlignment="1">
      <alignment/>
    </xf>
    <xf numFmtId="9" fontId="21" fillId="0" borderId="34" xfId="19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0" fontId="21" fillId="0" borderId="26" xfId="19" applyNumberFormat="1" applyFont="1" applyBorder="1" applyAlignment="1">
      <alignment/>
    </xf>
    <xf numFmtId="4" fontId="33" fillId="0" borderId="32" xfId="0" applyNumberFormat="1" applyFont="1" applyBorder="1" applyAlignment="1">
      <alignment/>
    </xf>
    <xf numFmtId="0" fontId="40" fillId="0" borderId="0" xfId="0" applyFont="1" applyAlignment="1">
      <alignment/>
    </xf>
    <xf numFmtId="0" fontId="27" fillId="0" borderId="0" xfId="0" applyFont="1" applyFill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3" fontId="20" fillId="0" borderId="25" xfId="0" applyNumberFormat="1" applyFont="1" applyBorder="1" applyAlignment="1">
      <alignment/>
    </xf>
    <xf numFmtId="3" fontId="32" fillId="0" borderId="22" xfId="0" applyNumberFormat="1" applyFont="1" applyFill="1" applyBorder="1" applyAlignment="1">
      <alignment/>
    </xf>
    <xf numFmtId="4" fontId="33" fillId="0" borderId="35" xfId="0" applyNumberFormat="1" applyFont="1" applyBorder="1" applyAlignment="1">
      <alignment/>
    </xf>
    <xf numFmtId="10" fontId="33" fillId="0" borderId="35" xfId="0" applyNumberFormat="1" applyFont="1" applyBorder="1" applyAlignment="1">
      <alignment/>
    </xf>
    <xf numFmtId="4" fontId="33" fillId="0" borderId="36" xfId="0" applyNumberFormat="1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32" fillId="0" borderId="42" xfId="0" applyFont="1" applyBorder="1" applyAlignment="1">
      <alignment/>
    </xf>
    <xf numFmtId="4" fontId="33" fillId="0" borderId="43" xfId="0" applyNumberFormat="1" applyFont="1" applyBorder="1" applyAlignment="1">
      <alignment/>
    </xf>
    <xf numFmtId="4" fontId="33" fillId="0" borderId="44" xfId="0" applyNumberFormat="1" applyFont="1" applyBorder="1" applyAlignment="1">
      <alignment/>
    </xf>
    <xf numFmtId="0" fontId="20" fillId="0" borderId="45" xfId="0" applyFont="1" applyBorder="1" applyAlignment="1">
      <alignment/>
    </xf>
    <xf numFmtId="9" fontId="21" fillId="0" borderId="46" xfId="19" applyFont="1" applyBorder="1" applyAlignment="1">
      <alignment/>
    </xf>
    <xf numFmtId="9" fontId="21" fillId="0" borderId="47" xfId="19" applyFont="1" applyBorder="1" applyAlignment="1">
      <alignment/>
    </xf>
    <xf numFmtId="3" fontId="15" fillId="0" borderId="48" xfId="0" applyNumberFormat="1" applyFont="1" applyBorder="1" applyAlignment="1">
      <alignment/>
    </xf>
    <xf numFmtId="4" fontId="33" fillId="0" borderId="49" xfId="0" applyNumberFormat="1" applyFont="1" applyBorder="1" applyAlignment="1">
      <alignment/>
    </xf>
    <xf numFmtId="4" fontId="33" fillId="0" borderId="48" xfId="0" applyNumberFormat="1" applyFont="1" applyBorder="1" applyAlignment="1">
      <alignment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/>
    </xf>
    <xf numFmtId="0" fontId="15" fillId="0" borderId="53" xfId="0" applyFont="1" applyBorder="1" applyAlignment="1">
      <alignment/>
    </xf>
    <xf numFmtId="17" fontId="41" fillId="0" borderId="0" xfId="0" applyNumberFormat="1" applyFont="1" applyFill="1" applyAlignment="1">
      <alignment horizontal="center"/>
    </xf>
    <xf numFmtId="17" fontId="42" fillId="0" borderId="0" xfId="0" applyNumberFormat="1" applyFont="1" applyAlignment="1">
      <alignment/>
    </xf>
    <xf numFmtId="0" fontId="15" fillId="0" borderId="54" xfId="0" applyFont="1" applyBorder="1" applyAlignment="1">
      <alignment horizontal="center"/>
    </xf>
    <xf numFmtId="17" fontId="41" fillId="0" borderId="0" xfId="0" applyNumberFormat="1" applyFont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15" fillId="8" borderId="55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15" fillId="8" borderId="57" xfId="0" applyFont="1" applyFill="1" applyBorder="1" applyAlignment="1">
      <alignment horizontal="center"/>
    </xf>
    <xf numFmtId="0" fontId="22" fillId="9" borderId="0" xfId="0" applyFont="1" applyFill="1" applyAlignment="1">
      <alignment horizontal="center"/>
    </xf>
    <xf numFmtId="4" fontId="33" fillId="0" borderId="58" xfId="0" applyNumberFormat="1" applyFont="1" applyBorder="1" applyAlignment="1">
      <alignment/>
    </xf>
    <xf numFmtId="4" fontId="33" fillId="0" borderId="59" xfId="0" applyNumberFormat="1" applyFont="1" applyBorder="1" applyAlignment="1">
      <alignment/>
    </xf>
    <xf numFmtId="4" fontId="33" fillId="0" borderId="60" xfId="0" applyNumberFormat="1" applyFont="1" applyBorder="1" applyAlignment="1">
      <alignment/>
    </xf>
    <xf numFmtId="10" fontId="21" fillId="0" borderId="30" xfId="19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10" fontId="21" fillId="0" borderId="61" xfId="19" applyNumberFormat="1" applyFont="1" applyBorder="1" applyAlignment="1">
      <alignment/>
    </xf>
    <xf numFmtId="9" fontId="21" fillId="0" borderId="62" xfId="19" applyFont="1" applyBorder="1" applyAlignment="1">
      <alignment/>
    </xf>
    <xf numFmtId="9" fontId="21" fillId="0" borderId="63" xfId="19" applyFont="1" applyBorder="1" applyAlignment="1">
      <alignment/>
    </xf>
    <xf numFmtId="10" fontId="21" fillId="0" borderId="46" xfId="19" applyNumberFormat="1" applyFont="1" applyBorder="1" applyAlignment="1">
      <alignment/>
    </xf>
    <xf numFmtId="10" fontId="21" fillId="0" borderId="62" xfId="19" applyNumberFormat="1" applyFont="1" applyBorder="1" applyAlignment="1">
      <alignment/>
    </xf>
    <xf numFmtId="10" fontId="21" fillId="0" borderId="64" xfId="19" applyNumberFormat="1" applyFont="1" applyBorder="1" applyAlignment="1">
      <alignment/>
    </xf>
    <xf numFmtId="0" fontId="15" fillId="0" borderId="0" xfId="0" applyFont="1" applyAlignment="1">
      <alignment horizontal="right"/>
    </xf>
    <xf numFmtId="10" fontId="21" fillId="0" borderId="31" xfId="19" applyNumberFormat="1" applyFont="1" applyBorder="1" applyAlignment="1">
      <alignment/>
    </xf>
    <xf numFmtId="9" fontId="21" fillId="0" borderId="61" xfId="19" applyNumberFormat="1" applyFont="1" applyBorder="1" applyAlignment="1">
      <alignment/>
    </xf>
    <xf numFmtId="10" fontId="21" fillId="0" borderId="34" xfId="19" applyNumberFormat="1" applyFont="1" applyBorder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10" fontId="21" fillId="0" borderId="65" xfId="19" applyNumberFormat="1" applyFont="1" applyBorder="1" applyAlignment="1">
      <alignment/>
    </xf>
    <xf numFmtId="17" fontId="57" fillId="0" borderId="0" xfId="0" applyNumberFormat="1" applyFont="1" applyFill="1" applyAlignment="1">
      <alignment horizontal="center"/>
    </xf>
    <xf numFmtId="0" fontId="22" fillId="10" borderId="0" xfId="0" applyFont="1" applyFill="1" applyAlignment="1">
      <alignment horizontal="center"/>
    </xf>
    <xf numFmtId="0" fontId="20" fillId="11" borderId="66" xfId="0" applyFont="1" applyFill="1" applyBorder="1" applyAlignment="1">
      <alignment/>
    </xf>
    <xf numFmtId="4" fontId="33" fillId="0" borderId="67" xfId="0" applyNumberFormat="1" applyFont="1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 vertical="center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45" fillId="0" borderId="0" xfId="0" applyFont="1" applyFill="1" applyAlignment="1">
      <alignment horizontal="center" wrapText="1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3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58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11" borderId="70" xfId="0" applyFont="1" applyFill="1" applyBorder="1" applyAlignment="1">
      <alignment horizontal="center"/>
    </xf>
    <xf numFmtId="0" fontId="15" fillId="11" borderId="71" xfId="0" applyFont="1" applyFill="1" applyBorder="1" applyAlignment="1">
      <alignment horizontal="center"/>
    </xf>
    <xf numFmtId="0" fontId="15" fillId="11" borderId="7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C"/>
                </a:gs>
                <a:gs pos="50000">
                  <a:srgbClr val="000080"/>
                </a:gs>
                <a:gs pos="100000">
                  <a:srgbClr val="00003C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208181"/>
                </a:gs>
                <a:gs pos="50000">
                  <a:srgbClr val="33CCCC"/>
                </a:gs>
                <a:gs pos="100000">
                  <a:srgbClr val="20818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9686573"/>
        <c:axId val="20070294"/>
      </c:bar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  <c:max val="13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968657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365"/>
          <c:w val="0.479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64"/>
          <c:w val="0.983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'CULT.'!$A$52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'CULT.'!$A$53:$A$59</c:f>
              <c:numCache/>
            </c:numRef>
          </c:val>
        </c:ser>
        <c:ser>
          <c:idx val="1"/>
          <c:order val="1"/>
          <c:tx>
            <c:strRef>
              <c:f>'CULT.'!$B$52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'CULT.'!$C$53:$C$59</c:f>
              <c:strCache/>
            </c:strRef>
          </c:cat>
          <c:val>
            <c:numRef>
              <c:f>'CULT.'!$B$53:$B$59</c:f>
              <c:numCache/>
            </c:numRef>
          </c:val>
        </c:ser>
        <c:axId val="34691479"/>
        <c:axId val="43787856"/>
      </c:bar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  <c:max val="2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4691479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4425"/>
          <c:w val="0.481"/>
          <c:h val="0.0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'DEP.'!$A$46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'DEP.'!$A$47:$A$53</c:f>
              <c:numCache/>
            </c:numRef>
          </c:val>
        </c:ser>
        <c:ser>
          <c:idx val="1"/>
          <c:order val="1"/>
          <c:tx>
            <c:strRef>
              <c:f>'DEP.'!$B$46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'DEP.'!$C$47:$C$53</c:f>
              <c:strCache/>
            </c:strRef>
          </c:cat>
          <c:val>
            <c:numRef>
              <c:f>'DEP.'!$B$47:$B$53</c:f>
              <c:numCache/>
            </c:numRef>
          </c:val>
        </c:ser>
        <c:axId val="58546385"/>
        <c:axId val="57155418"/>
      </c:bar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57155418"/>
        <c:crosses val="autoZero"/>
        <c:auto val="1"/>
        <c:lblOffset val="100"/>
        <c:noMultiLvlLbl val="0"/>
      </c:catAx>
      <c:valAx>
        <c:axId val="57155418"/>
        <c:scaling>
          <c:orientation val="minMax"/>
          <c:max val="12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58546385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45"/>
          <c:y val="0.94525"/>
          <c:w val="0.48875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425"/>
          <c:w val="1"/>
          <c:h val="0.85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TOTAL!$A$61:$A$71</c:f>
              <c:strCache/>
            </c:strRef>
          </c:cat>
          <c:val>
            <c:numRef>
              <c:f>TOTAL!$L$61:$L$71</c:f>
              <c:numCache/>
            </c:numRef>
          </c:val>
          <c:shape val="cylinder"/>
        </c:ser>
        <c:overlap val="100"/>
        <c:shape val="cylinder"/>
        <c:axId val="44636715"/>
        <c:axId val="66186116"/>
      </c:bar3D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66186116"/>
        <c:crosses val="autoZero"/>
        <c:auto val="1"/>
        <c:lblOffset val="100"/>
        <c:noMultiLvlLbl val="0"/>
      </c:catAx>
      <c:valAx>
        <c:axId val="6618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6367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75"/>
          <c:w val="0.986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GOB!$A$50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GOB!$A$51:$A$57</c:f>
              <c:numCache/>
            </c:numRef>
          </c:val>
        </c:ser>
        <c:ser>
          <c:idx val="1"/>
          <c:order val="1"/>
          <c:tx>
            <c:strRef>
              <c:f>GOB!$B$50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GOB!$C$51:$C$57</c:f>
              <c:strCache/>
            </c:strRef>
          </c:cat>
          <c:val>
            <c:numRef>
              <c:f>GOB!$B$51:$B$57</c:f>
              <c:numCache/>
            </c:numRef>
          </c:val>
        </c:ser>
        <c:axId val="46414919"/>
        <c:axId val="15081088"/>
      </c:bar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  <c:max val="3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464149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75"/>
          <c:y val="0.94275"/>
          <c:w val="0.43775"/>
          <c:h val="0.051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75"/>
          <c:w val="0.994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1512065"/>
        <c:axId val="13608586"/>
      </c:bar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  <c:max val="35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/>
            </a:pPr>
          </a:p>
        </c:txPr>
        <c:crossAx val="1512065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5"/>
          <c:y val="0.9455"/>
          <c:w val="0.4455"/>
          <c:h val="0.05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7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SAS!$A$49:$A$55</c:f>
              <c:numCache/>
            </c:numRef>
          </c:val>
        </c:ser>
        <c:ser>
          <c:idx val="1"/>
          <c:order val="1"/>
          <c:tx>
            <c:strRef>
              <c:f>SAS!$B$48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SAS!$C$49:$C$55</c:f>
              <c:strCache/>
            </c:strRef>
          </c:cat>
          <c:val>
            <c:numRef>
              <c:f>SAS!$B$49:$B$55</c:f>
              <c:numCache/>
            </c:numRef>
          </c:val>
        </c:ser>
        <c:axId val="55368411"/>
        <c:axId val="28553652"/>
      </c:bar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  <c:max val="62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55368411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94025"/>
          <c:w val="0.480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0.998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55656277"/>
        <c:axId val="31144446"/>
      </c:bar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  <c:max val="6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55656277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4375"/>
          <c:w val="0.50425"/>
          <c:h val="0.047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95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3B"/>
                  </a:gs>
                  <a:gs pos="5000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  <c:max val="6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50" b="1" i="0" u="none" baseline="0"/>
            </a:pPr>
          </a:p>
        </c:txPr>
        <c:crossAx val="11864559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375"/>
          <c:y val="0.9405"/>
          <c:w val="0.4017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6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21505193"/>
        <c:axId val="59329010"/>
      </c:bar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  <c:max val="8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/>
            </a:pPr>
          </a:p>
        </c:txPr>
        <c:crossAx val="21505193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7"/>
          <c:y val="0.938"/>
          <c:w val="0.48675"/>
          <c:h val="0.056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6"/>
          <c:w val="0.976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64199043"/>
        <c:axId val="40920476"/>
      </c:bar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  <c:max val="27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64199043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335"/>
          <c:w val="0.61325"/>
          <c:h val="0.055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50000">
                  <a:srgbClr val="000080"/>
                </a:gs>
                <a:gs pos="100000">
                  <a:srgbClr val="0000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  <c:max val="125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1" i="0" u="none" baseline="0"/>
            </a:pPr>
          </a:p>
        </c:txPr>
        <c:crossAx val="32739965"/>
        <c:crossesAt val="1"/>
        <c:crossBetween val="between"/>
        <c:dispUnits/>
        <c:majorUnit val="1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925"/>
          <c:y val="0.937"/>
          <c:w val="0.51025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419225" y="3276600"/>
        <a:ext cx="66865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57150</xdr:rowOff>
    </xdr:from>
    <xdr:to>
      <xdr:col>13</xdr:col>
      <xdr:colOff>409575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1943100" y="4210050"/>
        <a:ext cx="68961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19050</xdr:rowOff>
    </xdr:from>
    <xdr:to>
      <xdr:col>13</xdr:col>
      <xdr:colOff>409575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81225" y="3067050"/>
        <a:ext cx="6791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7753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104775</xdr:rowOff>
    </xdr:from>
    <xdr:to>
      <xdr:col>13</xdr:col>
      <xdr:colOff>276225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295400" y="3810000"/>
        <a:ext cx="76581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16</xdr:row>
      <xdr:rowOff>161925</xdr:rowOff>
    </xdr:from>
    <xdr:to>
      <xdr:col>13</xdr:col>
      <xdr:colOff>9525</xdr:colOff>
      <xdr:row>33</xdr:row>
      <xdr:rowOff>161925</xdr:rowOff>
    </xdr:to>
    <xdr:graphicFrame>
      <xdr:nvGraphicFramePr>
        <xdr:cNvPr id="1" name="Chart 1"/>
        <xdr:cNvGraphicFramePr/>
      </xdr:nvGraphicFramePr>
      <xdr:xfrm>
        <a:off x="1257300" y="3619500"/>
        <a:ext cx="7077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16</xdr:row>
      <xdr:rowOff>142875</xdr:rowOff>
    </xdr:from>
    <xdr:to>
      <xdr:col>12</xdr:col>
      <xdr:colOff>371475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628775" y="3429000"/>
        <a:ext cx="69056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104775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438275" y="3057525"/>
        <a:ext cx="68675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0</xdr:rowOff>
    </xdr:from>
    <xdr:to>
      <xdr:col>12</xdr:col>
      <xdr:colOff>504825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619250" y="3352800"/>
        <a:ext cx="710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13</xdr:col>
      <xdr:colOff>276225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33575" y="3133725"/>
        <a:ext cx="66008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247775" y="3200400"/>
        <a:ext cx="5724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66875" y="3152775"/>
        <a:ext cx="6972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E1">
      <selection activeCell="H12" sqref="H12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0.7109375" style="1" customWidth="1"/>
    <col min="4" max="4" width="6.8515625" style="1" customWidth="1"/>
    <col min="5" max="5" width="10.140625" style="1" customWidth="1"/>
    <col min="6" max="6" width="7.7109375" style="1" customWidth="1"/>
    <col min="7" max="7" width="10.7109375" style="1" customWidth="1"/>
    <col min="8" max="8" width="7.7109375" style="1" customWidth="1"/>
    <col min="9" max="9" width="10.140625" style="1" customWidth="1"/>
    <col min="10" max="10" width="7.421875" style="1" customWidth="1"/>
    <col min="11" max="11" width="9.421875" style="1" customWidth="1"/>
    <col min="12" max="12" width="6.57421875" style="1" customWidth="1"/>
    <col min="13" max="13" width="10.00390625" style="1" customWidth="1"/>
    <col min="14" max="14" width="8.7109375" style="1" customWidth="1"/>
    <col min="15" max="15" width="10.28125" style="1" customWidth="1"/>
    <col min="16" max="16" width="11.8515625" style="1" customWidth="1"/>
    <col min="17" max="17" width="10.57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105</v>
      </c>
      <c r="C2" s="164"/>
      <c r="D2" s="165"/>
      <c r="E2" s="165"/>
      <c r="L2" s="163" t="s">
        <v>24</v>
      </c>
      <c r="M2" s="163"/>
      <c r="N2" s="158">
        <v>40360</v>
      </c>
      <c r="O2" s="23"/>
    </row>
    <row r="3" spans="2:5" ht="16.5">
      <c r="B3" s="166"/>
      <c r="C3" s="166"/>
      <c r="E3" s="22"/>
    </row>
    <row r="4" spans="3:5" ht="17.25" thickBot="1">
      <c r="C4" s="24"/>
      <c r="D4" s="24"/>
      <c r="E4" s="22"/>
    </row>
    <row r="5" spans="1:17" ht="18" thickTop="1">
      <c r="A5" s="104"/>
      <c r="B5" s="167" t="s">
        <v>1</v>
      </c>
      <c r="C5" s="168"/>
      <c r="D5" s="167" t="s">
        <v>2</v>
      </c>
      <c r="E5" s="168"/>
      <c r="F5" s="167" t="s">
        <v>3</v>
      </c>
      <c r="G5" s="168"/>
      <c r="H5" s="167" t="s">
        <v>4</v>
      </c>
      <c r="I5" s="168"/>
      <c r="J5" s="167" t="s">
        <v>33</v>
      </c>
      <c r="K5" s="168"/>
      <c r="L5" s="105" t="s">
        <v>88</v>
      </c>
      <c r="M5" s="106"/>
      <c r="N5" s="167" t="s">
        <v>34</v>
      </c>
      <c r="O5" s="168"/>
      <c r="P5" s="107" t="s">
        <v>5</v>
      </c>
      <c r="Q5" s="118" t="s">
        <v>39</v>
      </c>
    </row>
    <row r="6" spans="1:17" ht="17.25">
      <c r="A6" s="108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4" t="s">
        <v>26</v>
      </c>
      <c r="Q6" s="119" t="s">
        <v>40</v>
      </c>
    </row>
    <row r="7" spans="1:18" ht="17.25">
      <c r="A7" s="109" t="s">
        <v>15</v>
      </c>
      <c r="B7" s="32">
        <v>475111</v>
      </c>
      <c r="C7" s="33">
        <f>3514.61+839655.27-C9-C11</f>
        <v>293366.74000000005</v>
      </c>
      <c r="D7" s="32">
        <f>53000-5000</f>
        <v>48000</v>
      </c>
      <c r="E7" s="33">
        <f>6440.05+26300.93-E9-E11</f>
        <v>15228.71</v>
      </c>
      <c r="F7" s="32">
        <v>416564</v>
      </c>
      <c r="G7" s="33">
        <f>94244.3+609273.34-G9-G11</f>
        <v>502641.37</v>
      </c>
      <c r="H7" s="32">
        <f>531166-80000</f>
        <v>451166</v>
      </c>
      <c r="I7" s="33">
        <f>126210.39+668998.68-I9-I11</f>
        <v>432990.83</v>
      </c>
      <c r="J7" s="32">
        <v>0</v>
      </c>
      <c r="K7" s="33">
        <f>26186+2198.03-K9-K11+51113.31</f>
        <v>56795.31</v>
      </c>
      <c r="L7" s="32">
        <v>0</v>
      </c>
      <c r="M7" s="33">
        <f>10706.96-M11</f>
        <v>306.9599999999991</v>
      </c>
      <c r="N7" s="32">
        <v>150000</v>
      </c>
      <c r="O7" s="33">
        <f>113630.34-O9-O11</f>
        <v>74042.78</v>
      </c>
      <c r="P7" s="110">
        <f>+O7+K7+I7+G7+E7+C7+M7</f>
        <v>1375372.7</v>
      </c>
      <c r="Q7" s="140">
        <f>+B7+D7+F7+H7+J7+N7+L7-P7</f>
        <v>165468.30000000005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41"/>
    </row>
    <row r="9" spans="1:17" ht="17.25">
      <c r="A9" s="109" t="s">
        <v>101</v>
      </c>
      <c r="B9" s="32">
        <v>124269</v>
      </c>
      <c r="C9" s="33">
        <f>1068.62+81469.71</f>
        <v>82538.33</v>
      </c>
      <c r="D9" s="32">
        <v>24300</v>
      </c>
      <c r="E9" s="33">
        <f>855.94+1710</f>
        <v>2565.94</v>
      </c>
      <c r="F9" s="32">
        <v>62400</v>
      </c>
      <c r="G9" s="33">
        <f>513+10836.56</f>
        <v>11349.56</v>
      </c>
      <c r="H9" s="32">
        <v>194785</v>
      </c>
      <c r="I9" s="33">
        <f>24196.98+116792.07</f>
        <v>140989.05000000002</v>
      </c>
      <c r="J9" s="32">
        <v>0</v>
      </c>
      <c r="K9" s="33">
        <f>20504+943.85</f>
        <v>21447.85</v>
      </c>
      <c r="L9" s="32">
        <v>0</v>
      </c>
      <c r="M9" s="33">
        <v>0</v>
      </c>
      <c r="N9" s="35">
        <v>0</v>
      </c>
      <c r="O9" s="33">
        <v>11180.33</v>
      </c>
      <c r="P9" s="110">
        <f>+O9+K9+I9+G9+E9+C9</f>
        <v>270071.06</v>
      </c>
      <c r="Q9" s="141">
        <f>+B9+D9+F9+H9+J9+N9-P9</f>
        <v>135682.94</v>
      </c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41"/>
    </row>
    <row r="11" spans="1:17" ht="17.25">
      <c r="A11" s="109" t="s">
        <v>100</v>
      </c>
      <c r="B11" s="32">
        <v>679098</v>
      </c>
      <c r="C11" s="33">
        <f>1679.37+465585.44</f>
        <v>467264.81</v>
      </c>
      <c r="D11" s="32">
        <v>15510</v>
      </c>
      <c r="E11" s="33">
        <f>4318.06+10628.27</f>
        <v>14946.330000000002</v>
      </c>
      <c r="F11" s="32">
        <v>198985</v>
      </c>
      <c r="G11" s="33">
        <f>5729.88+183796.83</f>
        <v>189526.71</v>
      </c>
      <c r="H11" s="32">
        <v>89447</v>
      </c>
      <c r="I11" s="33">
        <f>9700.47+211528.72</f>
        <v>221229.19</v>
      </c>
      <c r="J11" s="32">
        <v>0</v>
      </c>
      <c r="K11" s="33">
        <v>1254.18</v>
      </c>
      <c r="L11" s="32">
        <v>0</v>
      </c>
      <c r="M11" s="37">
        <v>10400</v>
      </c>
      <c r="N11" s="32">
        <v>0</v>
      </c>
      <c r="O11" s="33">
        <v>28407.23</v>
      </c>
      <c r="P11" s="110">
        <f>+O11+K11+I11+G11+E11+C11+M11</f>
        <v>933028.45</v>
      </c>
      <c r="Q11" s="141">
        <f>+B11+D11+F11+H11+J11+N11-P11+L11</f>
        <v>50011.55000000005</v>
      </c>
    </row>
    <row r="12" spans="1:17" ht="18" thickBot="1">
      <c r="A12" s="120" t="s">
        <v>11</v>
      </c>
      <c r="B12" s="115">
        <f aca="true" t="shared" si="0" ref="B12:K12">SUM(B7:B11)</f>
        <v>1278478</v>
      </c>
      <c r="C12" s="116">
        <f>SUM(C7:C11)</f>
        <v>843169.8800000001</v>
      </c>
      <c r="D12" s="115">
        <f t="shared" si="0"/>
        <v>87810</v>
      </c>
      <c r="E12" s="116">
        <f t="shared" si="0"/>
        <v>32740.98</v>
      </c>
      <c r="F12" s="115">
        <f t="shared" si="0"/>
        <v>677949</v>
      </c>
      <c r="G12" s="116">
        <f t="shared" si="0"/>
        <v>703517.64</v>
      </c>
      <c r="H12" s="115">
        <f t="shared" si="0"/>
        <v>735398</v>
      </c>
      <c r="I12" s="116">
        <f t="shared" si="0"/>
        <v>795209.0700000001</v>
      </c>
      <c r="J12" s="115">
        <f t="shared" si="0"/>
        <v>0</v>
      </c>
      <c r="K12" s="116">
        <f t="shared" si="0"/>
        <v>79497.34</v>
      </c>
      <c r="L12" s="115">
        <f aca="true" t="shared" si="1" ref="L12:Q12">SUM(L7:L11)</f>
        <v>0</v>
      </c>
      <c r="M12" s="117">
        <f t="shared" si="1"/>
        <v>10706.96</v>
      </c>
      <c r="N12" s="115">
        <f t="shared" si="1"/>
        <v>150000</v>
      </c>
      <c r="O12" s="116">
        <f t="shared" si="1"/>
        <v>113630.34</v>
      </c>
      <c r="P12" s="111">
        <f t="shared" si="1"/>
        <v>2578472.21</v>
      </c>
      <c r="Q12" s="142">
        <f t="shared" si="1"/>
        <v>351162.7900000001</v>
      </c>
    </row>
    <row r="13" spans="1:17" ht="18.75" thickBot="1" thickTop="1">
      <c r="A13" s="121" t="s">
        <v>31</v>
      </c>
      <c r="B13" s="112"/>
      <c r="C13" s="148">
        <f>+C12/B12</f>
        <v>0.6595106681538517</v>
      </c>
      <c r="D13" s="113"/>
      <c r="E13" s="148">
        <f>+E12/D12</f>
        <v>0.3728616330714042</v>
      </c>
      <c r="F13" s="113"/>
      <c r="G13" s="148">
        <f>+G12/F12</f>
        <v>1.0377146953531904</v>
      </c>
      <c r="H13" s="113"/>
      <c r="I13" s="148">
        <f>+I12/H12</f>
        <v>1.0813315646765427</v>
      </c>
      <c r="J13" s="113"/>
      <c r="K13" s="146"/>
      <c r="L13" s="147"/>
      <c r="M13" s="149"/>
      <c r="N13" s="114"/>
      <c r="O13" s="150">
        <f>+O12/N12</f>
        <v>0.7575356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86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27</v>
      </c>
      <c r="B46" s="54" t="s">
        <v>28</v>
      </c>
      <c r="C46" s="21" t="s">
        <v>29</v>
      </c>
    </row>
    <row r="47" spans="1:3" ht="17.25">
      <c r="A47" s="55">
        <f>+B12</f>
        <v>1278478</v>
      </c>
      <c r="B47" s="52">
        <f>+C12</f>
        <v>843169.8800000001</v>
      </c>
      <c r="C47" s="21" t="s">
        <v>1</v>
      </c>
    </row>
    <row r="48" spans="1:3" ht="17.25">
      <c r="A48" s="55">
        <f>+D12</f>
        <v>87810</v>
      </c>
      <c r="B48" s="52">
        <f>+E12</f>
        <v>32740.98</v>
      </c>
      <c r="C48" s="21" t="s">
        <v>2</v>
      </c>
    </row>
    <row r="49" spans="1:3" ht="17.25">
      <c r="A49" s="55">
        <f>+F12</f>
        <v>677949</v>
      </c>
      <c r="B49" s="52">
        <f>+G12</f>
        <v>703517.64</v>
      </c>
      <c r="C49" s="21" t="s">
        <v>3</v>
      </c>
    </row>
    <row r="50" spans="1:3" ht="17.25">
      <c r="A50" s="55">
        <f>+H12</f>
        <v>735398</v>
      </c>
      <c r="B50" s="52">
        <f>+I12</f>
        <v>795209.0700000001</v>
      </c>
      <c r="C50" s="21" t="s">
        <v>35</v>
      </c>
    </row>
    <row r="51" spans="1:3" ht="17.25">
      <c r="A51" s="55">
        <f>+J12</f>
        <v>0</v>
      </c>
      <c r="B51" s="52">
        <f>+K12</f>
        <v>79497.34</v>
      </c>
      <c r="C51" s="21" t="s">
        <v>33</v>
      </c>
    </row>
    <row r="52" spans="1:3" ht="17.25">
      <c r="A52" s="55">
        <f>+L12</f>
        <v>0</v>
      </c>
      <c r="B52" s="52">
        <f>+M12</f>
        <v>10706.96</v>
      </c>
      <c r="C52" s="21" t="s">
        <v>97</v>
      </c>
    </row>
    <row r="53" spans="1:3" ht="17.25">
      <c r="A53" s="55">
        <f>+N12</f>
        <v>150000</v>
      </c>
      <c r="B53" s="52">
        <f>+O12</f>
        <v>113630.34</v>
      </c>
      <c r="C53" s="21" t="s">
        <v>36</v>
      </c>
    </row>
    <row r="55" spans="1:2" ht="16.5">
      <c r="A55" s="55"/>
      <c r="B55" s="52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59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1"/>
  <sheetViews>
    <sheetView workbookViewId="0" topLeftCell="A5">
      <selection activeCell="P19" sqref="P19"/>
    </sheetView>
  </sheetViews>
  <sheetFormatPr defaultColWidth="11.421875" defaultRowHeight="15"/>
  <cols>
    <col min="1" max="1" width="19.57421875" style="1" customWidth="1"/>
    <col min="2" max="2" width="9.28125" style="1" customWidth="1"/>
    <col min="3" max="3" width="10.28125" style="1" customWidth="1"/>
    <col min="4" max="4" width="7.140625" style="1" customWidth="1"/>
    <col min="5" max="5" width="9.7109375" style="1" customWidth="1"/>
    <col min="6" max="6" width="8.28125" style="1" customWidth="1"/>
    <col min="7" max="7" width="10.140625" style="1" customWidth="1"/>
    <col min="8" max="8" width="7.7109375" style="1" customWidth="1"/>
    <col min="9" max="9" width="10.8515625" style="1" customWidth="1"/>
    <col min="10" max="10" width="6.8515625" style="1" customWidth="1"/>
    <col min="11" max="11" width="9.7109375" style="1" customWidth="1"/>
    <col min="12" max="12" width="6.8515625" style="1" customWidth="1"/>
    <col min="13" max="13" width="10.00390625" style="1" customWidth="1"/>
    <col min="14" max="14" width="7.140625" style="1" customWidth="1"/>
    <col min="15" max="15" width="9.28125" style="1" customWidth="1"/>
    <col min="16" max="16" width="12.57421875" style="1" customWidth="1"/>
    <col min="17" max="17" width="10.57421875" style="1" customWidth="1"/>
    <col min="18" max="18" width="11.710937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122</v>
      </c>
      <c r="C2" s="179"/>
      <c r="D2" s="179"/>
      <c r="E2" s="180"/>
      <c r="F2" s="180"/>
      <c r="K2" s="181" t="s">
        <v>24</v>
      </c>
      <c r="L2" s="181"/>
      <c r="M2" s="158">
        <v>40360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127</v>
      </c>
      <c r="B7" s="32">
        <v>1172185</v>
      </c>
      <c r="C7" s="33">
        <f>126078.82+462291.29</f>
        <v>588370.11</v>
      </c>
      <c r="D7" s="32">
        <v>15182</v>
      </c>
      <c r="E7" s="33">
        <f>17665.94+10664.05</f>
        <v>28329.989999999998</v>
      </c>
      <c r="F7" s="32">
        <v>322819</v>
      </c>
      <c r="G7" s="33">
        <f>83799.39+427574.15</f>
        <v>511373.54000000004</v>
      </c>
      <c r="H7" s="32">
        <f>20000+80000</f>
        <v>100000</v>
      </c>
      <c r="I7" s="33">
        <f>9171.85+151387.17</f>
        <v>160559.02000000002</v>
      </c>
      <c r="J7" s="32">
        <v>0</v>
      </c>
      <c r="K7" s="33">
        <f>9300+6539</f>
        <v>15839</v>
      </c>
      <c r="L7" s="32">
        <v>0</v>
      </c>
      <c r="M7" s="37">
        <f>5867.11+29846.36</f>
        <v>35713.47</v>
      </c>
      <c r="N7" s="32">
        <v>80000</v>
      </c>
      <c r="O7" s="33">
        <v>62421.38</v>
      </c>
      <c r="P7" s="34">
        <f>+C7+E7+G7+I7+K7+O7+M7</f>
        <v>1402606.51</v>
      </c>
      <c r="Q7" s="34">
        <f>+B7+D7+F7+H7+J7+N7+L7-P7</f>
        <v>287579.49</v>
      </c>
      <c r="R7" s="5"/>
    </row>
    <row r="8" spans="1:18" ht="17.25">
      <c r="A8" s="31" t="s">
        <v>94</v>
      </c>
      <c r="B8" s="32">
        <v>21472</v>
      </c>
      <c r="C8" s="33">
        <f>3156+8997.81</f>
        <v>12153.81</v>
      </c>
      <c r="D8" s="32">
        <v>1400</v>
      </c>
      <c r="E8" s="33">
        <v>3846.8</v>
      </c>
      <c r="F8" s="32">
        <v>7370</v>
      </c>
      <c r="G8" s="33">
        <f>87.87+3787.76</f>
        <v>3875.63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0</v>
      </c>
      <c r="P8" s="34">
        <f aca="true" t="shared" si="0" ref="P8:P15">+C8+E8+G8+I8+K8+O8</f>
        <v>19876.24</v>
      </c>
      <c r="Q8" s="34">
        <f aca="true" t="shared" si="1" ref="Q8:Q15">+B8+D8+F8+H8+J8+N8-P8</f>
        <v>10365.759999999998</v>
      </c>
      <c r="R8" s="5"/>
    </row>
    <row r="9" spans="1:18" ht="17.25">
      <c r="A9" s="31" t="s">
        <v>93</v>
      </c>
      <c r="B9" s="32">
        <v>227241</v>
      </c>
      <c r="C9" s="33">
        <f>34661.99+106558.74</f>
        <v>141220.73</v>
      </c>
      <c r="D9" s="32">
        <v>18971</v>
      </c>
      <c r="E9" s="33">
        <f>16+6093.6</f>
        <v>6109.6</v>
      </c>
      <c r="F9" s="32">
        <v>190000</v>
      </c>
      <c r="G9" s="33">
        <f>8944.37+63982.3</f>
        <v>72926.67</v>
      </c>
      <c r="H9" s="32">
        <v>0</v>
      </c>
      <c r="I9" s="33">
        <v>0</v>
      </c>
      <c r="J9" s="32">
        <v>15150</v>
      </c>
      <c r="K9" s="33">
        <v>0</v>
      </c>
      <c r="L9" s="32">
        <v>0</v>
      </c>
      <c r="M9" s="37">
        <v>0</v>
      </c>
      <c r="N9" s="32">
        <v>0</v>
      </c>
      <c r="O9" s="33">
        <v>3176.27</v>
      </c>
      <c r="P9" s="34">
        <f t="shared" si="0"/>
        <v>223433.27</v>
      </c>
      <c r="Q9" s="34">
        <f t="shared" si="1"/>
        <v>227928.73</v>
      </c>
      <c r="R9" s="5"/>
    </row>
    <row r="10" spans="1:18" ht="17.25">
      <c r="A10" s="31" t="s">
        <v>133</v>
      </c>
      <c r="B10" s="32">
        <v>39252</v>
      </c>
      <c r="C10" s="33">
        <f>6343.25+13862.35</f>
        <v>20205.6</v>
      </c>
      <c r="D10" s="32">
        <v>700</v>
      </c>
      <c r="E10" s="33">
        <v>0</v>
      </c>
      <c r="F10" s="32">
        <v>31930</v>
      </c>
      <c r="G10" s="33">
        <f>500+1593.42</f>
        <v>2093.42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0</v>
      </c>
      <c r="P10" s="34">
        <f t="shared" si="0"/>
        <v>22299.019999999997</v>
      </c>
      <c r="Q10" s="34">
        <f t="shared" si="1"/>
        <v>49582.98</v>
      </c>
      <c r="R10" s="5"/>
    </row>
    <row r="11" spans="1:18" ht="17.25">
      <c r="A11" s="31" t="s">
        <v>134</v>
      </c>
      <c r="B11" s="32">
        <v>65332</v>
      </c>
      <c r="C11" s="33">
        <f>10269.48+29327.84</f>
        <v>39597.32</v>
      </c>
      <c r="D11" s="32">
        <v>4700</v>
      </c>
      <c r="E11" s="33">
        <v>2558.61</v>
      </c>
      <c r="F11" s="32">
        <v>93400</v>
      </c>
      <c r="G11" s="33">
        <f>3444.88+22413.09</f>
        <v>25857.97</v>
      </c>
      <c r="H11" s="32">
        <v>0</v>
      </c>
      <c r="I11" s="33">
        <v>0</v>
      </c>
      <c r="J11" s="32">
        <v>0</v>
      </c>
      <c r="K11" s="33">
        <v>150</v>
      </c>
      <c r="L11" s="32">
        <v>0</v>
      </c>
      <c r="M11" s="37">
        <v>0</v>
      </c>
      <c r="N11" s="32">
        <v>0</v>
      </c>
      <c r="O11" s="33">
        <v>0</v>
      </c>
      <c r="P11" s="34">
        <f t="shared" si="0"/>
        <v>68163.9</v>
      </c>
      <c r="Q11" s="34">
        <f t="shared" si="1"/>
        <v>95268.1</v>
      </c>
      <c r="R11" s="5"/>
    </row>
    <row r="12" spans="1:18" ht="17.25">
      <c r="A12" s="31" t="s">
        <v>135</v>
      </c>
      <c r="B12" s="32">
        <v>0</v>
      </c>
      <c r="C12" s="33">
        <v>0</v>
      </c>
      <c r="D12" s="32">
        <v>0</v>
      </c>
      <c r="E12" s="33">
        <v>0</v>
      </c>
      <c r="F12" s="32">
        <v>0</v>
      </c>
      <c r="G12" s="33">
        <f>1700+5146.84</f>
        <v>6846.84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0</v>
      </c>
      <c r="P12" s="34">
        <f t="shared" si="0"/>
        <v>6846.84</v>
      </c>
      <c r="Q12" s="34">
        <f t="shared" si="1"/>
        <v>-6846.84</v>
      </c>
      <c r="R12" s="5"/>
    </row>
    <row r="13" spans="1:18" ht="17.25">
      <c r="A13" s="31" t="s">
        <v>136</v>
      </c>
      <c r="B13" s="32">
        <v>201536</v>
      </c>
      <c r="C13" s="33">
        <f>18690.95+49638.95</f>
        <v>68329.9</v>
      </c>
      <c r="D13" s="32">
        <v>0</v>
      </c>
      <c r="E13" s="33">
        <v>218</v>
      </c>
      <c r="F13" s="32">
        <v>0</v>
      </c>
      <c r="G13" s="33">
        <v>632.95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1908.66</v>
      </c>
      <c r="P13" s="34">
        <f t="shared" si="0"/>
        <v>71089.51</v>
      </c>
      <c r="Q13" s="34">
        <f t="shared" si="1"/>
        <v>130446.49</v>
      </c>
      <c r="R13" s="5"/>
    </row>
    <row r="14" spans="1:18" ht="17.25">
      <c r="A14" s="31" t="s">
        <v>137</v>
      </c>
      <c r="B14" s="32">
        <v>118474</v>
      </c>
      <c r="C14" s="33">
        <f>15256.62+48115.29</f>
        <v>63371.91</v>
      </c>
      <c r="D14" s="32">
        <v>0</v>
      </c>
      <c r="E14" s="33">
        <v>0</v>
      </c>
      <c r="F14" s="32">
        <v>12000</v>
      </c>
      <c r="G14" s="33">
        <f>1750+4423.42</f>
        <v>6173.42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1770.21</v>
      </c>
      <c r="P14" s="34">
        <f t="shared" si="0"/>
        <v>71315.54000000001</v>
      </c>
      <c r="Q14" s="34">
        <f t="shared" si="1"/>
        <v>59158.45999999999</v>
      </c>
      <c r="R14" s="5"/>
    </row>
    <row r="15" spans="1:18" ht="17.25">
      <c r="A15" s="31" t="s">
        <v>138</v>
      </c>
      <c r="B15" s="32">
        <v>0</v>
      </c>
      <c r="C15" s="33">
        <v>0</v>
      </c>
      <c r="D15" s="32">
        <v>3500</v>
      </c>
      <c r="E15" s="33">
        <v>0</v>
      </c>
      <c r="F15" s="32">
        <v>27800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0</v>
      </c>
      <c r="P15" s="34">
        <f t="shared" si="0"/>
        <v>0</v>
      </c>
      <c r="Q15" s="34">
        <f t="shared" si="1"/>
        <v>31300</v>
      </c>
      <c r="R15" s="5"/>
    </row>
    <row r="16" spans="1:18" ht="17.25">
      <c r="A16" s="31" t="s">
        <v>128</v>
      </c>
      <c r="B16" s="32">
        <v>0</v>
      </c>
      <c r="C16" s="33">
        <f>5116.3+14856.66</f>
        <v>19972.96</v>
      </c>
      <c r="D16" s="32">
        <v>0</v>
      </c>
      <c r="E16" s="33">
        <v>0</v>
      </c>
      <c r="F16" s="32">
        <v>0</v>
      </c>
      <c r="G16" s="33">
        <v>0</v>
      </c>
      <c r="H16" s="32">
        <v>0</v>
      </c>
      <c r="I16" s="33">
        <v>0</v>
      </c>
      <c r="J16" s="32">
        <v>0</v>
      </c>
      <c r="K16" s="33">
        <v>0</v>
      </c>
      <c r="L16" s="32">
        <v>0</v>
      </c>
      <c r="M16" s="37">
        <v>0</v>
      </c>
      <c r="N16" s="32">
        <v>0</v>
      </c>
      <c r="O16" s="33">
        <v>0</v>
      </c>
      <c r="P16" s="34">
        <f>+C16+E16+G16+I16+K16+O16</f>
        <v>19972.96</v>
      </c>
      <c r="Q16" s="34">
        <f>+B16+D16+F16+H16+J16+N16-P16</f>
        <v>-19972.96</v>
      </c>
      <c r="R16" s="5"/>
    </row>
    <row r="17" spans="1:18" ht="18" thickBot="1">
      <c r="A17" s="38" t="s">
        <v>11</v>
      </c>
      <c r="B17" s="39">
        <f aca="true" t="shared" si="2" ref="B17:Q17">SUM(B7:B16)</f>
        <v>1845492</v>
      </c>
      <c r="C17" s="40">
        <f t="shared" si="2"/>
        <v>953222.34</v>
      </c>
      <c r="D17" s="39">
        <f t="shared" si="2"/>
        <v>44453</v>
      </c>
      <c r="E17" s="40">
        <f t="shared" si="2"/>
        <v>41063</v>
      </c>
      <c r="F17" s="39">
        <f t="shared" si="2"/>
        <v>685319</v>
      </c>
      <c r="G17" s="40">
        <f t="shared" si="2"/>
        <v>629780.4400000001</v>
      </c>
      <c r="H17" s="39">
        <f t="shared" si="2"/>
        <v>100000</v>
      </c>
      <c r="I17" s="40">
        <f t="shared" si="2"/>
        <v>160559.02000000002</v>
      </c>
      <c r="J17" s="39">
        <f t="shared" si="2"/>
        <v>15150</v>
      </c>
      <c r="K17" s="40">
        <f t="shared" si="2"/>
        <v>15989</v>
      </c>
      <c r="L17" s="39">
        <f t="shared" si="2"/>
        <v>0</v>
      </c>
      <c r="M17" s="40">
        <f t="shared" si="2"/>
        <v>35713.47</v>
      </c>
      <c r="N17" s="39">
        <f t="shared" si="2"/>
        <v>80000</v>
      </c>
      <c r="O17" s="40">
        <f t="shared" si="2"/>
        <v>69276.52</v>
      </c>
      <c r="P17" s="42">
        <f t="shared" si="2"/>
        <v>1905603.79</v>
      </c>
      <c r="Q17" s="42">
        <f t="shared" si="2"/>
        <v>864810.21</v>
      </c>
      <c r="R17" s="5"/>
    </row>
    <row r="18" spans="1:17" ht="17.25" thickBot="1">
      <c r="A18" s="43" t="s">
        <v>31</v>
      </c>
      <c r="B18" s="44"/>
      <c r="C18" s="143">
        <f>+C17/B17</f>
        <v>0.5165139377466822</v>
      </c>
      <c r="D18" s="143"/>
      <c r="E18" s="143">
        <f>+E17/D17</f>
        <v>0.9237396801115785</v>
      </c>
      <c r="F18" s="143"/>
      <c r="G18" s="143">
        <f>+G17/F17</f>
        <v>0.9189595502240563</v>
      </c>
      <c r="H18" s="143"/>
      <c r="I18" s="143">
        <f>+I17/H17</f>
        <v>1.6055902000000002</v>
      </c>
      <c r="J18" s="143"/>
      <c r="K18" s="143">
        <f>+K17/J17</f>
        <v>1.0553795379537954</v>
      </c>
      <c r="L18" s="152"/>
      <c r="M18" s="143"/>
      <c r="N18" s="157"/>
      <c r="O18" s="145">
        <f>+O17/N17</f>
        <v>0.8659565</v>
      </c>
      <c r="P18" s="58"/>
      <c r="Q18" s="5"/>
    </row>
    <row r="19" spans="1:17" ht="16.5">
      <c r="A19" s="49"/>
      <c r="B19" s="4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144"/>
      <c r="Q19" s="5"/>
    </row>
    <row r="20" spans="1:16" ht="16.5">
      <c r="A20" s="49"/>
      <c r="B20" s="4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37" spans="5:8" ht="16.5">
      <c r="E37" s="59"/>
      <c r="F37" s="59"/>
      <c r="G37" s="60"/>
      <c r="H37" s="60"/>
    </row>
    <row r="38" spans="5:8" ht="16.5">
      <c r="E38" s="61"/>
      <c r="F38" s="61"/>
      <c r="G38" s="61"/>
      <c r="H38" s="61"/>
    </row>
    <row r="43" spans="1:6" ht="16.5">
      <c r="A43" s="53"/>
      <c r="B43" s="53"/>
      <c r="C43" s="53"/>
      <c r="D43" s="53"/>
      <c r="E43" s="53"/>
      <c r="F43" s="53"/>
    </row>
    <row r="44" ht="16.5">
      <c r="C44" s="48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0" spans="3:6" ht="16.5">
      <c r="C50" s="52"/>
      <c r="D50" s="5"/>
      <c r="E50" s="53"/>
      <c r="F50" s="53"/>
    </row>
    <row r="52" spans="1:5" ht="16.5">
      <c r="A52" s="62" t="s">
        <v>27</v>
      </c>
      <c r="B52" s="62" t="s">
        <v>28</v>
      </c>
      <c r="C52" s="62" t="s">
        <v>29</v>
      </c>
      <c r="D52" s="62"/>
      <c r="E52" s="63"/>
    </row>
    <row r="53" spans="1:3" ht="17.25">
      <c r="A53" s="64">
        <f>+B17</f>
        <v>1845492</v>
      </c>
      <c r="B53" s="65">
        <f>+C17</f>
        <v>953222.34</v>
      </c>
      <c r="C53" s="62" t="s">
        <v>1</v>
      </c>
    </row>
    <row r="54" spans="1:3" ht="17.25">
      <c r="A54" s="64">
        <f>+D17</f>
        <v>44453</v>
      </c>
      <c r="B54" s="65">
        <f>+E17</f>
        <v>41063</v>
      </c>
      <c r="C54" s="62" t="s">
        <v>2</v>
      </c>
    </row>
    <row r="55" spans="1:3" ht="17.25">
      <c r="A55" s="64">
        <f>+F17</f>
        <v>685319</v>
      </c>
      <c r="B55" s="65">
        <f>+G17</f>
        <v>629780.4400000001</v>
      </c>
      <c r="C55" s="62" t="s">
        <v>3</v>
      </c>
    </row>
    <row r="56" spans="1:3" ht="17.25">
      <c r="A56" s="64">
        <f>+H17</f>
        <v>100000</v>
      </c>
      <c r="B56" s="65">
        <f>+I17</f>
        <v>160559.02000000002</v>
      </c>
      <c r="C56" s="62" t="s">
        <v>35</v>
      </c>
    </row>
    <row r="57" spans="1:3" ht="17.25">
      <c r="A57" s="64">
        <f>+J17</f>
        <v>15150</v>
      </c>
      <c r="B57" s="65">
        <f>+K17</f>
        <v>15989</v>
      </c>
      <c r="C57" s="62" t="s">
        <v>33</v>
      </c>
    </row>
    <row r="58" spans="1:3" ht="17.25">
      <c r="A58" s="66">
        <f>+L17</f>
        <v>0</v>
      </c>
      <c r="B58" s="65">
        <f>+M17</f>
        <v>35713.47</v>
      </c>
      <c r="C58" s="62" t="s">
        <v>102</v>
      </c>
    </row>
    <row r="59" spans="1:3" ht="17.25">
      <c r="A59" s="64">
        <f>+N17</f>
        <v>80000</v>
      </c>
      <c r="B59" s="65">
        <f>+O17</f>
        <v>69276.52</v>
      </c>
      <c r="C59" s="62" t="s">
        <v>36</v>
      </c>
    </row>
    <row r="60" spans="1:3" ht="17.25">
      <c r="A60" s="64"/>
      <c r="B60" s="64"/>
      <c r="C60" s="62"/>
    </row>
    <row r="61" spans="1:2" ht="16.5">
      <c r="A61" s="1">
        <v>2809993</v>
      </c>
      <c r="B61" s="5">
        <v>749308.3</v>
      </c>
    </row>
  </sheetData>
  <mergeCells count="10">
    <mergeCell ref="B2:F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46" bottom="0.4330708661417323" header="0" footer="0"/>
  <pageSetup horizontalDpi="600" verticalDpi="600" orientation="landscape" paperSize="5" r:id="rId2"/>
  <headerFooter alignWithMargins="0">
    <oddHeader>&amp;RCONTADURIA MUNICIPAL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D1">
      <selection activeCell="F11" sqref="F11"/>
    </sheetView>
  </sheetViews>
  <sheetFormatPr defaultColWidth="11.421875" defaultRowHeight="15"/>
  <cols>
    <col min="1" max="1" width="23.28125" style="1" customWidth="1"/>
    <col min="2" max="2" width="9.28125" style="1" customWidth="1"/>
    <col min="3" max="3" width="10.140625" style="1" customWidth="1"/>
    <col min="4" max="4" width="6.8515625" style="1" customWidth="1"/>
    <col min="5" max="5" width="9.28125" style="1" customWidth="1"/>
    <col min="6" max="6" width="7.57421875" style="1" customWidth="1"/>
    <col min="7" max="7" width="11.140625" style="1" customWidth="1"/>
    <col min="8" max="8" width="7.421875" style="1" customWidth="1"/>
    <col min="9" max="9" width="10.421875" style="1" customWidth="1"/>
    <col min="10" max="10" width="6.8515625" style="1" customWidth="1"/>
    <col min="11" max="11" width="9.28125" style="1" customWidth="1"/>
    <col min="12" max="12" width="7.28125" style="1" customWidth="1"/>
    <col min="13" max="13" width="9.57421875" style="1" customWidth="1"/>
    <col min="14" max="14" width="6.57421875" style="1" customWidth="1"/>
    <col min="15" max="15" width="9.28125" style="1" customWidth="1"/>
    <col min="16" max="16" width="12.00390625" style="1" customWidth="1"/>
    <col min="17" max="17" width="11.00390625" style="1" customWidth="1"/>
    <col min="18" max="18" width="11.710937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123</v>
      </c>
      <c r="C2" s="179"/>
      <c r="D2" s="179"/>
      <c r="E2" s="180"/>
      <c r="F2" s="180"/>
      <c r="K2" s="182" t="s">
        <v>24</v>
      </c>
      <c r="L2" s="162"/>
      <c r="M2" s="158">
        <v>40360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129</v>
      </c>
      <c r="B7" s="32">
        <v>975896</v>
      </c>
      <c r="C7" s="33">
        <f>134828.99+443122.64</f>
        <v>577951.63</v>
      </c>
      <c r="D7" s="32">
        <v>34006</v>
      </c>
      <c r="E7" s="33">
        <f>326.43+18248.28</f>
        <v>18574.71</v>
      </c>
      <c r="F7" s="32">
        <v>682296</v>
      </c>
      <c r="G7" s="33">
        <f>101322.58+479156.77</f>
        <v>580479.35</v>
      </c>
      <c r="H7" s="32">
        <v>730000</v>
      </c>
      <c r="I7" s="33">
        <f>7595.46+487263.15</f>
        <v>494858.61000000004</v>
      </c>
      <c r="J7" s="32">
        <v>6000</v>
      </c>
      <c r="K7" s="33">
        <v>6164.5</v>
      </c>
      <c r="L7" s="32">
        <v>8000</v>
      </c>
      <c r="M7" s="37">
        <f>3958.5+2342.52</f>
        <v>6301.02</v>
      </c>
      <c r="N7" s="32">
        <v>35000</v>
      </c>
      <c r="O7" s="33">
        <v>28461.02</v>
      </c>
      <c r="P7" s="34">
        <f>+C7+E7+G7+I7+K7+O7+M7</f>
        <v>1712790.84</v>
      </c>
      <c r="Q7" s="34">
        <f>+B7+D7+F7+H7+J7+N7+L7-P7</f>
        <v>758407.1599999999</v>
      </c>
      <c r="R7" s="5"/>
    </row>
    <row r="8" spans="1:18" ht="17.25">
      <c r="A8" s="31" t="s">
        <v>130</v>
      </c>
      <c r="B8" s="32">
        <v>132057</v>
      </c>
      <c r="C8" s="33">
        <f>27916.45+62545.19</f>
        <v>90461.64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v>1579.64</v>
      </c>
      <c r="P8" s="34">
        <f>+C8+E8+G8+I8+K8+O8</f>
        <v>92041.28</v>
      </c>
      <c r="Q8" s="34">
        <f>+B8+D8+F8+H8+J8+N8-P8</f>
        <v>40015.72</v>
      </c>
      <c r="R8" s="5"/>
    </row>
    <row r="9" spans="1:18" ht="17.25">
      <c r="A9" s="31" t="s">
        <v>131</v>
      </c>
      <c r="B9" s="32">
        <v>100595</v>
      </c>
      <c r="C9" s="33">
        <f>14784.41+42530.87</f>
        <v>57315.28</v>
      </c>
      <c r="D9" s="35">
        <v>0</v>
      </c>
      <c r="E9" s="33">
        <v>0</v>
      </c>
      <c r="F9" s="32">
        <v>0</v>
      </c>
      <c r="G9" s="33">
        <f>1262+4686</f>
        <v>5948</v>
      </c>
      <c r="H9" s="32">
        <v>0</v>
      </c>
      <c r="I9" s="33">
        <v>0</v>
      </c>
      <c r="J9" s="35">
        <v>0</v>
      </c>
      <c r="K9" s="33">
        <v>0</v>
      </c>
      <c r="L9" s="32">
        <v>0</v>
      </c>
      <c r="M9" s="37">
        <v>0</v>
      </c>
      <c r="N9" s="32">
        <v>0</v>
      </c>
      <c r="O9" s="33">
        <v>0</v>
      </c>
      <c r="P9" s="34">
        <f>+C9+E9+G9+I9+K9+O9</f>
        <v>63263.28</v>
      </c>
      <c r="Q9" s="34">
        <f>+B9+D9+F9+H9+J9+N9-P9</f>
        <v>37331.72</v>
      </c>
      <c r="R9" s="5"/>
    </row>
    <row r="10" spans="1:18" ht="17.25">
      <c r="A10" s="31"/>
      <c r="B10" s="32"/>
      <c r="C10" s="33"/>
      <c r="D10" s="35"/>
      <c r="E10" s="33"/>
      <c r="F10" s="32"/>
      <c r="G10" s="33"/>
      <c r="H10" s="32"/>
      <c r="I10" s="33"/>
      <c r="J10" s="35"/>
      <c r="K10" s="33"/>
      <c r="L10" s="37"/>
      <c r="M10" s="37"/>
      <c r="N10" s="32"/>
      <c r="O10" s="33"/>
      <c r="P10" s="34"/>
      <c r="Q10" s="34"/>
      <c r="R10" s="5"/>
    </row>
    <row r="11" spans="1:18" ht="18" thickBot="1">
      <c r="A11" s="38" t="s">
        <v>11</v>
      </c>
      <c r="B11" s="39">
        <f aca="true" t="shared" si="0" ref="B11:Q11">SUM(B7:B10)</f>
        <v>1208548</v>
      </c>
      <c r="C11" s="40">
        <f t="shared" si="0"/>
        <v>725728.55</v>
      </c>
      <c r="D11" s="39">
        <f t="shared" si="0"/>
        <v>34006</v>
      </c>
      <c r="E11" s="40">
        <f t="shared" si="0"/>
        <v>18574.71</v>
      </c>
      <c r="F11" s="39">
        <f t="shared" si="0"/>
        <v>682296</v>
      </c>
      <c r="G11" s="40">
        <f t="shared" si="0"/>
        <v>586427.35</v>
      </c>
      <c r="H11" s="39">
        <f t="shared" si="0"/>
        <v>730000</v>
      </c>
      <c r="I11" s="40">
        <f t="shared" si="0"/>
        <v>494858.61000000004</v>
      </c>
      <c r="J11" s="39">
        <f t="shared" si="0"/>
        <v>6000</v>
      </c>
      <c r="K11" s="40">
        <f t="shared" si="0"/>
        <v>6164.5</v>
      </c>
      <c r="L11" s="39">
        <f t="shared" si="0"/>
        <v>8000</v>
      </c>
      <c r="M11" s="40">
        <f t="shared" si="0"/>
        <v>6301.02</v>
      </c>
      <c r="N11" s="39">
        <f t="shared" si="0"/>
        <v>35000</v>
      </c>
      <c r="O11" s="40">
        <f t="shared" si="0"/>
        <v>30040.66</v>
      </c>
      <c r="P11" s="42">
        <f t="shared" si="0"/>
        <v>1868095.4000000001</v>
      </c>
      <c r="Q11" s="42">
        <f t="shared" si="0"/>
        <v>835754.5999999999</v>
      </c>
      <c r="R11" s="5"/>
    </row>
    <row r="12" spans="1:17" ht="17.25" thickBot="1">
      <c r="A12" s="43" t="s">
        <v>31</v>
      </c>
      <c r="B12" s="44"/>
      <c r="C12" s="143">
        <f>+C11/B11</f>
        <v>0.6004962566650228</v>
      </c>
      <c r="D12" s="143"/>
      <c r="E12" s="143">
        <f>+E11/D11</f>
        <v>0.5462186084808563</v>
      </c>
      <c r="F12" s="143"/>
      <c r="G12" s="143">
        <f>+G11/F11</f>
        <v>0.8594911152930692</v>
      </c>
      <c r="H12" s="45"/>
      <c r="I12" s="143">
        <f>+I11/H11</f>
        <v>0.6778885068493151</v>
      </c>
      <c r="J12" s="45"/>
      <c r="K12" s="45">
        <f>+K11/J11</f>
        <v>1.0274166666666666</v>
      </c>
      <c r="L12" s="47"/>
      <c r="M12" s="152">
        <f>+M11/L11</f>
        <v>0.7876275</v>
      </c>
      <c r="N12" s="45"/>
      <c r="O12" s="145">
        <f>+O11/N11</f>
        <v>0.8583045714285714</v>
      </c>
      <c r="P12" s="58"/>
      <c r="Q12" s="5"/>
    </row>
    <row r="13" spans="1:17" ht="16.5">
      <c r="A13" s="49"/>
      <c r="B13" s="4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144"/>
      <c r="Q13" s="5"/>
    </row>
    <row r="14" spans="1:16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31" spans="5:8" ht="16.5">
      <c r="E31" s="59"/>
      <c r="F31" s="59"/>
      <c r="G31" s="60"/>
      <c r="H31" s="60"/>
    </row>
    <row r="32" spans="5:8" ht="16.5">
      <c r="E32" s="61"/>
      <c r="F32" s="61"/>
      <c r="G32" s="61"/>
      <c r="H32" s="61"/>
    </row>
    <row r="37" spans="1:6" ht="16.5">
      <c r="A37" s="53"/>
      <c r="B37" s="53"/>
      <c r="C37" s="53"/>
      <c r="D37" s="53"/>
      <c r="E37" s="53"/>
      <c r="F37" s="53"/>
    </row>
    <row r="38" ht="16.5">
      <c r="C38" s="48"/>
    </row>
    <row r="39" spans="3:6" ht="16.5">
      <c r="C39" s="52"/>
      <c r="D39" s="5"/>
      <c r="E39" s="53"/>
      <c r="F39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6" spans="1:5" ht="16.5">
      <c r="A46" s="62" t="s">
        <v>27</v>
      </c>
      <c r="B46" s="62" t="s">
        <v>28</v>
      </c>
      <c r="C46" s="62" t="s">
        <v>29</v>
      </c>
      <c r="D46" s="62"/>
      <c r="E46" s="63"/>
    </row>
    <row r="47" spans="1:3" ht="17.25">
      <c r="A47" s="64">
        <f>+B11</f>
        <v>1208548</v>
      </c>
      <c r="B47" s="65">
        <f>+C11</f>
        <v>725728.55</v>
      </c>
      <c r="C47" s="62" t="s">
        <v>1</v>
      </c>
    </row>
    <row r="48" spans="1:3" ht="17.25">
      <c r="A48" s="64">
        <f>+D11</f>
        <v>34006</v>
      </c>
      <c r="B48" s="65">
        <f>+E11</f>
        <v>18574.71</v>
      </c>
      <c r="C48" s="62" t="s">
        <v>2</v>
      </c>
    </row>
    <row r="49" spans="1:3" ht="17.25">
      <c r="A49" s="64">
        <f>+F11</f>
        <v>682296</v>
      </c>
      <c r="B49" s="65">
        <f>+G11</f>
        <v>586427.35</v>
      </c>
      <c r="C49" s="62" t="s">
        <v>3</v>
      </c>
    </row>
    <row r="50" spans="1:3" ht="17.25">
      <c r="A50" s="64">
        <f>+H11</f>
        <v>730000</v>
      </c>
      <c r="B50" s="65">
        <f>+I11</f>
        <v>494858.61000000004</v>
      </c>
      <c r="C50" s="62" t="s">
        <v>35</v>
      </c>
    </row>
    <row r="51" spans="1:3" ht="17.25">
      <c r="A51" s="64">
        <f>+J11</f>
        <v>6000</v>
      </c>
      <c r="B51" s="65">
        <f>+K11</f>
        <v>6164.5</v>
      </c>
      <c r="C51" s="62" t="s">
        <v>33</v>
      </c>
    </row>
    <row r="52" spans="1:3" ht="17.25">
      <c r="A52" s="66">
        <f>+L11</f>
        <v>8000</v>
      </c>
      <c r="B52" s="65">
        <f>+M11</f>
        <v>6301.02</v>
      </c>
      <c r="C52" s="62" t="s">
        <v>102</v>
      </c>
    </row>
    <row r="53" spans="1:3" ht="17.25">
      <c r="A53" s="64">
        <f>+N11</f>
        <v>35000</v>
      </c>
      <c r="B53" s="65">
        <f>+O11</f>
        <v>30040.66</v>
      </c>
      <c r="C53" s="62" t="s">
        <v>36</v>
      </c>
    </row>
    <row r="54" spans="1:3" ht="17.25">
      <c r="A54" s="64">
        <f>SUM(A47:A53)</f>
        <v>2703850</v>
      </c>
      <c r="B54" s="65">
        <f>SUM(B47:B53)</f>
        <v>1868095.4</v>
      </c>
      <c r="C54" s="62"/>
    </row>
    <row r="55" ht="16.5">
      <c r="B55" s="5"/>
    </row>
  </sheetData>
  <mergeCells count="10">
    <mergeCell ref="K2:L2"/>
    <mergeCell ref="B3:D3"/>
    <mergeCell ref="J5:K5"/>
    <mergeCell ref="N5:O5"/>
    <mergeCell ref="B5:C5"/>
    <mergeCell ref="D5:E5"/>
    <mergeCell ref="F5:G5"/>
    <mergeCell ref="H5:I5"/>
    <mergeCell ref="L5:M5"/>
    <mergeCell ref="B2:F2"/>
  </mergeCells>
  <printOptions/>
  <pageMargins left="0.93" right="0.75" top="0.81" bottom="0.58" header="0.26" footer="0"/>
  <pageSetup horizontalDpi="600" verticalDpi="600" orientation="landscape" paperSize="5" r:id="rId2"/>
  <headerFooter alignWithMargins="0">
    <oddHeader>&amp;RCONTADURIA MUNICIPAL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G2" sqref="G2"/>
    </sheetView>
  </sheetViews>
  <sheetFormatPr defaultColWidth="11.421875" defaultRowHeight="15"/>
  <cols>
    <col min="1" max="1" width="18.140625" style="1" customWidth="1"/>
    <col min="2" max="3" width="13.140625" style="1" customWidth="1"/>
    <col min="4" max="4" width="9.28125" style="1" customWidth="1"/>
    <col min="5" max="5" width="13.140625" style="1" customWidth="1"/>
    <col min="6" max="6" width="12.57421875" style="1" customWidth="1"/>
    <col min="7" max="7" width="12.00390625" style="1" customWidth="1"/>
    <col min="8" max="9" width="12.7109375" style="1" customWidth="1"/>
    <col min="10" max="10" width="11.8515625" style="1" customWidth="1"/>
    <col min="11" max="11" width="13.140625" style="1" customWidth="1"/>
    <col min="12" max="12" width="13.8515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42</v>
      </c>
    </row>
    <row r="2" spans="1:3" ht="18.75" thickBot="1">
      <c r="A2" s="18" t="s">
        <v>43</v>
      </c>
      <c r="C2" s="158">
        <v>40360</v>
      </c>
    </row>
    <row r="3" spans="1:12" ht="18" thickTop="1">
      <c r="A3" s="2" t="s">
        <v>44</v>
      </c>
      <c r="B3" s="135" t="s">
        <v>45</v>
      </c>
      <c r="C3" s="135" t="s">
        <v>26</v>
      </c>
      <c r="D3" s="135" t="s">
        <v>46</v>
      </c>
      <c r="E3" s="183" t="s">
        <v>47</v>
      </c>
      <c r="F3" s="184"/>
      <c r="G3" s="184"/>
      <c r="H3" s="184"/>
      <c r="I3" s="184"/>
      <c r="J3" s="184"/>
      <c r="K3" s="185"/>
      <c r="L3" s="137" t="s">
        <v>25</v>
      </c>
    </row>
    <row r="4" spans="1:12" ht="17.25">
      <c r="A4" s="3"/>
      <c r="B4" s="136" t="s">
        <v>48</v>
      </c>
      <c r="C4" s="136" t="s">
        <v>48</v>
      </c>
      <c r="D4" s="136" t="s">
        <v>49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50</v>
      </c>
      <c r="J4" s="4" t="s">
        <v>30</v>
      </c>
      <c r="K4" s="4" t="s">
        <v>36</v>
      </c>
      <c r="L4" s="138" t="s">
        <v>51</v>
      </c>
    </row>
    <row r="5" spans="1:12" ht="16.5">
      <c r="A5" s="160" t="s">
        <v>16</v>
      </c>
      <c r="B5" s="101">
        <f>+INT!P12+INT!Q12</f>
        <v>2929635</v>
      </c>
      <c r="C5" s="101">
        <f>SUM(E5:K5)</f>
        <v>2578472.21</v>
      </c>
      <c r="D5" s="102">
        <f>+C5/B5</f>
        <v>0.8801342863530781</v>
      </c>
      <c r="E5" s="101">
        <f>+INT!C12</f>
        <v>843169.8800000001</v>
      </c>
      <c r="F5" s="101">
        <f>+INT!E$12</f>
        <v>32740.98</v>
      </c>
      <c r="G5" s="101">
        <f>+INT!G$12</f>
        <v>703517.64</v>
      </c>
      <c r="H5" s="101">
        <f>+INT!I$12</f>
        <v>795209.0700000001</v>
      </c>
      <c r="I5" s="101">
        <f>+INT!K$12</f>
        <v>79497.34</v>
      </c>
      <c r="J5" s="101">
        <f>+INT!M12</f>
        <v>10706.96</v>
      </c>
      <c r="K5" s="101">
        <f>+INT!O$12</f>
        <v>113630.34</v>
      </c>
      <c r="L5" s="103">
        <f>+B5-C5</f>
        <v>351162.79000000004</v>
      </c>
    </row>
    <row r="6" spans="1:12" ht="16.5">
      <c r="A6" s="160" t="s">
        <v>17</v>
      </c>
      <c r="B6" s="101">
        <f>+GOB!P16+GOB!Q16</f>
        <v>5810032</v>
      </c>
      <c r="C6" s="101">
        <f>SUM(E6:K6)</f>
        <v>4255165.54</v>
      </c>
      <c r="D6" s="102">
        <f>+C6/B6</f>
        <v>0.7323824619210358</v>
      </c>
      <c r="E6" s="101">
        <f>+GOB!C16</f>
        <v>2021176.29</v>
      </c>
      <c r="F6" s="101">
        <f>+GOB!E16</f>
        <v>41434.48</v>
      </c>
      <c r="G6" s="101">
        <f>+GOB!G16</f>
        <v>980414.91</v>
      </c>
      <c r="H6" s="101">
        <f>+GOB!I16</f>
        <v>691036.22</v>
      </c>
      <c r="I6" s="101">
        <f>+GOB!K16</f>
        <v>262542.85</v>
      </c>
      <c r="J6" s="101">
        <f>+GOB!M16</f>
        <v>28568.190000000002</v>
      </c>
      <c r="K6" s="101">
        <f>+GOB!O16</f>
        <v>229992.59999999998</v>
      </c>
      <c r="L6" s="103">
        <f>+B6-C6</f>
        <v>1554866.46</v>
      </c>
    </row>
    <row r="7" spans="1:12" ht="16.5">
      <c r="A7" s="160" t="s">
        <v>18</v>
      </c>
      <c r="B7" s="101">
        <f>+SEH!P14+SEH!Q14</f>
        <v>5537291</v>
      </c>
      <c r="C7" s="101">
        <f>SUM(E7:K7)</f>
        <v>3116608.95</v>
      </c>
      <c r="D7" s="102">
        <f>+C7/B7</f>
        <v>0.5628400150904116</v>
      </c>
      <c r="E7" s="101">
        <f>+SEH!C14</f>
        <v>1912270.58</v>
      </c>
      <c r="F7" s="101">
        <f>+SEH!E14</f>
        <v>181142.39</v>
      </c>
      <c r="G7" s="101">
        <f>+SEH!G14</f>
        <v>773097.89</v>
      </c>
      <c r="H7" s="101">
        <f>+SEH!I14</f>
        <v>244</v>
      </c>
      <c r="I7" s="101">
        <f>+SEH!K14</f>
        <v>38888.32</v>
      </c>
      <c r="J7" s="101">
        <f>+SEH!M14</f>
        <v>173.94</v>
      </c>
      <c r="K7" s="101">
        <f>+SEH!O14</f>
        <v>210791.83000000002</v>
      </c>
      <c r="L7" s="103">
        <f>+B7-C7</f>
        <v>2420682.05</v>
      </c>
    </row>
    <row r="8" spans="1:12" ht="16.5">
      <c r="A8" s="160" t="s">
        <v>21</v>
      </c>
      <c r="B8" s="101">
        <f>+SAS!P13+SAS!Q13</f>
        <v>13349360</v>
      </c>
      <c r="C8" s="101">
        <f aca="true" t="shared" si="0" ref="C8:C15">SUM(E8:K8)</f>
        <v>7474629.9399999995</v>
      </c>
      <c r="D8" s="102">
        <f aca="true" t="shared" si="1" ref="D8:D15">+C8/B8</f>
        <v>0.5599242165916568</v>
      </c>
      <c r="E8" s="101">
        <f>+SAS!C13</f>
        <v>3592554.65</v>
      </c>
      <c r="F8" s="101">
        <f>+SAS!E13</f>
        <v>70572.63</v>
      </c>
      <c r="G8" s="101">
        <f>+SAS!G13</f>
        <v>1052880.3800000001</v>
      </c>
      <c r="H8" s="101">
        <f>+SAS!I13</f>
        <v>2372481.59</v>
      </c>
      <c r="I8" s="101">
        <f>+SAS!K13</f>
        <v>23107.559999999998</v>
      </c>
      <c r="J8" s="101">
        <f>+SAS!M13</f>
        <v>13994.640000000001</v>
      </c>
      <c r="K8" s="101">
        <f>+SAS!O13</f>
        <v>349038.49</v>
      </c>
      <c r="L8" s="103">
        <f aca="true" t="shared" si="2" ref="L8:L15">+B8-C8</f>
        <v>5874730.0600000005</v>
      </c>
    </row>
    <row r="9" spans="1:12" ht="16.5">
      <c r="A9" s="160" t="s">
        <v>19</v>
      </c>
      <c r="B9" s="101">
        <f>+SOP!P12+SOP!Q12</f>
        <v>11531873</v>
      </c>
      <c r="C9" s="101">
        <f t="shared" si="0"/>
        <v>5449835.840000001</v>
      </c>
      <c r="D9" s="102">
        <f t="shared" si="1"/>
        <v>0.4725889575787039</v>
      </c>
      <c r="E9" s="101">
        <f>+SOP!C12</f>
        <v>1661486.15</v>
      </c>
      <c r="F9" s="101">
        <f>+SOP!E12</f>
        <v>128228.37999999999</v>
      </c>
      <c r="G9" s="101">
        <f>+SOP!G12</f>
        <v>691147.79</v>
      </c>
      <c r="H9" s="101">
        <f>+SOP!I12</f>
        <v>5100</v>
      </c>
      <c r="I9" s="101">
        <f>+SOP!K12</f>
        <v>24713.999999999996</v>
      </c>
      <c r="J9" s="101">
        <f>+SOP!M12</f>
        <v>2721338.4700000007</v>
      </c>
      <c r="K9" s="101">
        <f>+SOP!O12</f>
        <v>217821.05</v>
      </c>
      <c r="L9" s="103">
        <f t="shared" si="2"/>
        <v>6082037.159999999</v>
      </c>
    </row>
    <row r="10" spans="1:12" ht="16.5">
      <c r="A10" s="160" t="s">
        <v>87</v>
      </c>
      <c r="B10" s="101">
        <f>+SFOI!P13+SFOI!Q13</f>
        <v>8589458</v>
      </c>
      <c r="C10" s="101">
        <f t="shared" si="0"/>
        <v>5887151.539999999</v>
      </c>
      <c r="D10" s="102">
        <f t="shared" si="1"/>
        <v>0.6853926685478873</v>
      </c>
      <c r="E10" s="101">
        <f>+SFOI!C13</f>
        <v>3961605.2699999996</v>
      </c>
      <c r="F10" s="101">
        <f>+SFOI!E13</f>
        <v>122616.62999999999</v>
      </c>
      <c r="G10" s="101">
        <f>+SFOI!G13</f>
        <v>1531356.34</v>
      </c>
      <c r="H10" s="101">
        <f>+SFOI!I13</f>
        <v>1771.2600000000002</v>
      </c>
      <c r="I10" s="101">
        <f>+SFOI!K13</f>
        <v>21224.299999999996</v>
      </c>
      <c r="J10" s="101">
        <f>+SFOI!M13</f>
        <v>0</v>
      </c>
      <c r="K10" s="101">
        <f>+SFOI!O13</f>
        <v>248577.74</v>
      </c>
      <c r="L10" s="103">
        <f t="shared" si="2"/>
        <v>2702306.460000001</v>
      </c>
    </row>
    <row r="11" spans="1:12" ht="16.5">
      <c r="A11" s="160" t="s">
        <v>22</v>
      </c>
      <c r="B11" s="101">
        <f>+'CD'!P12+'CD'!Q12</f>
        <v>1274020</v>
      </c>
      <c r="C11" s="101">
        <f t="shared" si="0"/>
        <v>687410.2</v>
      </c>
      <c r="D11" s="102">
        <f t="shared" si="1"/>
        <v>0.5395599755105885</v>
      </c>
      <c r="E11" s="101">
        <f>+'CD'!C12</f>
        <v>503204.41</v>
      </c>
      <c r="F11" s="101">
        <f>+'CD'!E12</f>
        <v>5572.6</v>
      </c>
      <c r="G11" s="101">
        <f>+'CD'!G12</f>
        <v>11370.38</v>
      </c>
      <c r="H11" s="101">
        <f>+'CD'!I12</f>
        <v>101691.16</v>
      </c>
      <c r="I11" s="101">
        <f>+'CD'!K12</f>
        <v>2562.29</v>
      </c>
      <c r="J11" s="101">
        <f>+'CD'!M12</f>
        <v>0</v>
      </c>
      <c r="K11" s="101">
        <f>+'CD'!O12</f>
        <v>63009.36</v>
      </c>
      <c r="L11" s="103">
        <f t="shared" si="2"/>
        <v>586609.8</v>
      </c>
    </row>
    <row r="12" spans="1:12" ht="16.5">
      <c r="A12" s="160" t="s">
        <v>23</v>
      </c>
      <c r="B12" s="101">
        <f>+'CM'!N12+'CM'!O12</f>
        <v>393473</v>
      </c>
      <c r="C12" s="101">
        <f t="shared" si="0"/>
        <v>188683.43</v>
      </c>
      <c r="D12" s="102">
        <f t="shared" si="1"/>
        <v>0.47953336061178276</v>
      </c>
      <c r="E12" s="101">
        <f>+'CM'!C12</f>
        <v>149012.77</v>
      </c>
      <c r="F12" s="101">
        <f>+'CM'!E12</f>
        <v>0</v>
      </c>
      <c r="G12" s="101">
        <f>+'CM'!G12</f>
        <v>28519.079999999998</v>
      </c>
      <c r="H12" s="101">
        <f>+'CM'!I12</f>
        <v>0</v>
      </c>
      <c r="I12" s="101">
        <f>+'CM'!K12</f>
        <v>122.39</v>
      </c>
      <c r="J12" s="101">
        <v>0</v>
      </c>
      <c r="K12" s="101">
        <f>+'CM'!M12</f>
        <v>11029.19</v>
      </c>
      <c r="L12" s="103">
        <f t="shared" si="2"/>
        <v>204789.57</v>
      </c>
    </row>
    <row r="13" spans="1:12" ht="16.5">
      <c r="A13" s="160" t="s">
        <v>20</v>
      </c>
      <c r="B13" s="101">
        <f>+SSP!P13+SSP!Q13</f>
        <v>18781594</v>
      </c>
      <c r="C13" s="101">
        <f t="shared" si="0"/>
        <v>11992571.78</v>
      </c>
      <c r="D13" s="102">
        <f t="shared" si="1"/>
        <v>0.6385279002410551</v>
      </c>
      <c r="E13" s="101">
        <f>+SSP!C13</f>
        <v>6499895.41</v>
      </c>
      <c r="F13" s="101">
        <f>+SSP!E13</f>
        <v>1723957.5599999998</v>
      </c>
      <c r="G13" s="101">
        <f>+SSP!G13</f>
        <v>2276529.3000000003</v>
      </c>
      <c r="H13" s="101">
        <f>+SSP!I13</f>
        <v>64110.01</v>
      </c>
      <c r="I13" s="101">
        <f>+SSP!K13</f>
        <v>56134.05</v>
      </c>
      <c r="J13" s="101">
        <f>+SSP!M13</f>
        <v>504821.86</v>
      </c>
      <c r="K13" s="101">
        <f>+SSP!O13</f>
        <v>867123.59</v>
      </c>
      <c r="L13" s="103">
        <f t="shared" si="2"/>
        <v>6789022.220000001</v>
      </c>
    </row>
    <row r="14" spans="1:12" ht="16.5">
      <c r="A14" s="160" t="s">
        <v>124</v>
      </c>
      <c r="B14" s="101">
        <f>+'CULT.'!P17+'CULT.'!Q17</f>
        <v>2770414</v>
      </c>
      <c r="C14" s="101">
        <f t="shared" si="0"/>
        <v>1905603.79</v>
      </c>
      <c r="D14" s="102">
        <f t="shared" si="1"/>
        <v>0.6878408028547358</v>
      </c>
      <c r="E14" s="101">
        <f>+'CULT.'!C17</f>
        <v>953222.34</v>
      </c>
      <c r="F14" s="101">
        <f>+'CULT.'!E17</f>
        <v>41063</v>
      </c>
      <c r="G14" s="101">
        <f>+'CULT.'!G17</f>
        <v>629780.4400000001</v>
      </c>
      <c r="H14" s="101">
        <f>+'CULT.'!I17</f>
        <v>160559.02000000002</v>
      </c>
      <c r="I14" s="101">
        <f>+'CULT.'!K17</f>
        <v>15989</v>
      </c>
      <c r="J14" s="101">
        <f>+'CULT.'!M17</f>
        <v>35713.47</v>
      </c>
      <c r="K14" s="101">
        <f>+'CULT.'!O17</f>
        <v>69276.52</v>
      </c>
      <c r="L14" s="103">
        <f t="shared" si="2"/>
        <v>864810.21</v>
      </c>
    </row>
    <row r="15" spans="1:12" ht="16.5">
      <c r="A15" s="160" t="s">
        <v>125</v>
      </c>
      <c r="B15" s="101">
        <f>+'DEP.'!P11+'DEP.'!Q11</f>
        <v>2703850</v>
      </c>
      <c r="C15" s="101">
        <f t="shared" si="0"/>
        <v>1868095.4</v>
      </c>
      <c r="D15" s="102">
        <f t="shared" si="1"/>
        <v>0.6909020100967139</v>
      </c>
      <c r="E15" s="101">
        <f>+'DEP.'!C11</f>
        <v>725728.55</v>
      </c>
      <c r="F15" s="101">
        <f>+'DEP.'!E11</f>
        <v>18574.71</v>
      </c>
      <c r="G15" s="101">
        <f>+'DEP.'!G11</f>
        <v>586427.35</v>
      </c>
      <c r="H15" s="101">
        <f>+'DEP.'!I11</f>
        <v>494858.61000000004</v>
      </c>
      <c r="I15" s="101">
        <f>+'DEP.'!K11</f>
        <v>6164.5</v>
      </c>
      <c r="J15" s="101">
        <f>+'DEP.'!M11</f>
        <v>6301.02</v>
      </c>
      <c r="K15" s="101">
        <f>+'DEP.'!O11</f>
        <v>30040.66</v>
      </c>
      <c r="L15" s="103">
        <f t="shared" si="2"/>
        <v>835754.6000000001</v>
      </c>
    </row>
    <row r="16" spans="1:12" ht="17.25">
      <c r="A16" s="16" t="s">
        <v>11</v>
      </c>
      <c r="B16" s="11">
        <f>SUM(B5:B15)</f>
        <v>73671000</v>
      </c>
      <c r="C16" s="11">
        <f>SUM(C5:C15)</f>
        <v>45404228.62</v>
      </c>
      <c r="D16" s="12">
        <f>+C16/B16</f>
        <v>0.6163107412686131</v>
      </c>
      <c r="E16" s="11">
        <f aca="true" t="shared" si="3" ref="E16:K16">SUM(E5:E15)</f>
        <v>22823326.3</v>
      </c>
      <c r="F16" s="11">
        <f t="shared" si="3"/>
        <v>2365903.36</v>
      </c>
      <c r="G16" s="11">
        <f t="shared" si="3"/>
        <v>9265041.5</v>
      </c>
      <c r="H16" s="11">
        <f t="shared" si="3"/>
        <v>4687060.9399999995</v>
      </c>
      <c r="I16" s="11">
        <f t="shared" si="3"/>
        <v>530946.5999999999</v>
      </c>
      <c r="J16" s="11">
        <f t="shared" si="3"/>
        <v>3321618.5500000007</v>
      </c>
      <c r="K16" s="11">
        <f t="shared" si="3"/>
        <v>2410331.37</v>
      </c>
      <c r="L16" s="19">
        <f>SUM(L5:L15)</f>
        <v>28266771.380000003</v>
      </c>
    </row>
    <row r="17" spans="1:12" ht="18" thickBot="1">
      <c r="A17" s="15" t="s">
        <v>52</v>
      </c>
      <c r="B17" s="6"/>
      <c r="C17" s="7"/>
      <c r="D17" s="8"/>
      <c r="E17" s="13">
        <f>+E16/40231770</f>
        <v>0.5672961020606352</v>
      </c>
      <c r="F17" s="14">
        <f>+F16/3060811</f>
        <v>0.7729661713839894</v>
      </c>
      <c r="G17" s="14">
        <f>+G16/12881883</f>
        <v>0.7192303718330619</v>
      </c>
      <c r="H17" s="14">
        <f>+H16/8036216</f>
        <v>0.5832422796997989</v>
      </c>
      <c r="I17" s="14">
        <f>+I16/236720</f>
        <v>2.2429308888137878</v>
      </c>
      <c r="J17" s="14">
        <f>+J16/6723600</f>
        <v>0.4940238190850141</v>
      </c>
      <c r="K17" s="14">
        <f>+K16/2500000</f>
        <v>0.964132548</v>
      </c>
      <c r="L17" s="9"/>
    </row>
    <row r="18" spans="2:12" ht="17.25" thickTop="1">
      <c r="B18" s="5"/>
      <c r="C18" s="52"/>
      <c r="D18" s="5"/>
      <c r="L18" s="5"/>
    </row>
    <row r="19" spans="8:11" ht="16.5">
      <c r="H19" s="5"/>
      <c r="I19" s="5"/>
      <c r="J19" s="5"/>
      <c r="K19" s="128" t="s">
        <v>53</v>
      </c>
    </row>
    <row r="20" ht="16.5">
      <c r="K20" s="128"/>
    </row>
    <row r="21" ht="16.5">
      <c r="K21" s="129" t="s">
        <v>54</v>
      </c>
    </row>
    <row r="22" ht="16.5">
      <c r="K22" s="128"/>
    </row>
    <row r="23" ht="16.5">
      <c r="K23" s="159" t="s">
        <v>55</v>
      </c>
    </row>
    <row r="24" ht="16.5">
      <c r="K24" s="128"/>
    </row>
    <row r="25" ht="16.5">
      <c r="K25" s="130" t="s">
        <v>56</v>
      </c>
    </row>
    <row r="26" ht="16.5">
      <c r="K26" s="128"/>
    </row>
    <row r="27" ht="16.5">
      <c r="K27" s="139" t="s">
        <v>57</v>
      </c>
    </row>
    <row r="28" ht="16.5">
      <c r="K28" s="128"/>
    </row>
    <row r="29" ht="16.5">
      <c r="K29" s="131" t="s">
        <v>58</v>
      </c>
    </row>
    <row r="30" ht="16.5">
      <c r="K30" s="128"/>
    </row>
    <row r="31" ht="16.5">
      <c r="K31" s="132" t="s">
        <v>59</v>
      </c>
    </row>
    <row r="32" ht="16.5">
      <c r="K32" s="128"/>
    </row>
    <row r="33" ht="16.5">
      <c r="K33" s="133" t="s">
        <v>60</v>
      </c>
    </row>
    <row r="34" ht="16.5">
      <c r="K34" s="128"/>
    </row>
    <row r="35" ht="16.5">
      <c r="K35" s="134" t="s">
        <v>61</v>
      </c>
    </row>
    <row r="60" spans="5:13" ht="16.5">
      <c r="E60" s="1" t="s">
        <v>61</v>
      </c>
      <c r="F60" s="1" t="s">
        <v>60</v>
      </c>
      <c r="G60" s="1" t="s">
        <v>59</v>
      </c>
      <c r="H60" s="1" t="s">
        <v>62</v>
      </c>
      <c r="I60" s="1" t="s">
        <v>63</v>
      </c>
      <c r="J60" s="1" t="s">
        <v>64</v>
      </c>
      <c r="K60" s="1" t="s">
        <v>55</v>
      </c>
      <c r="L60" s="1" t="s">
        <v>65</v>
      </c>
      <c r="M60" s="1" t="s">
        <v>66</v>
      </c>
    </row>
    <row r="61" spans="1:13" ht="16.5">
      <c r="A61" s="1" t="s">
        <v>67</v>
      </c>
      <c r="E61" s="10">
        <f>+E5/B5</f>
        <v>0.287807143210673</v>
      </c>
      <c r="F61" s="10">
        <f aca="true" t="shared" si="4" ref="F61:L61">+F5/$B$5</f>
        <v>0.011175788110122934</v>
      </c>
      <c r="G61" s="10">
        <f t="shared" si="4"/>
        <v>0.24013832439877322</v>
      </c>
      <c r="H61" s="10">
        <f t="shared" si="4"/>
        <v>0.2714362266971824</v>
      </c>
      <c r="I61" s="10">
        <f t="shared" si="4"/>
        <v>0.02713557832289688</v>
      </c>
      <c r="J61" s="10">
        <f t="shared" si="4"/>
        <v>0.003654707839031142</v>
      </c>
      <c r="K61" s="10">
        <f t="shared" si="4"/>
        <v>0.03878651777439852</v>
      </c>
      <c r="L61" s="10">
        <f t="shared" si="4"/>
        <v>0.1198657136469219</v>
      </c>
      <c r="M61" s="10">
        <f>SUM(E61:L61)</f>
        <v>1.0000000000000002</v>
      </c>
    </row>
    <row r="62" spans="1:13" ht="16.5">
      <c r="A62" s="1" t="s">
        <v>95</v>
      </c>
      <c r="E62" s="10">
        <f>+E6/B6</f>
        <v>0.34787696350037317</v>
      </c>
      <c r="F62" s="10">
        <f>+F6/B6</f>
        <v>0.007131540755713566</v>
      </c>
      <c r="G62" s="10">
        <f>+G6/B6</f>
        <v>0.1687451824705957</v>
      </c>
      <c r="H62" s="10">
        <f>+H6/B6</f>
        <v>0.11893845335103145</v>
      </c>
      <c r="I62" s="10">
        <f>+I6/B6</f>
        <v>0.04518784922354988</v>
      </c>
      <c r="J62" s="10">
        <f>+J6/B6</f>
        <v>0.00491704520732416</v>
      </c>
      <c r="K62" s="10">
        <f>+K6/B6</f>
        <v>0.039585427412447985</v>
      </c>
      <c r="L62" s="10">
        <f>+L6/B6</f>
        <v>0.2676175380789641</v>
      </c>
      <c r="M62" s="10">
        <f>SUM(E62:L62)</f>
        <v>1</v>
      </c>
    </row>
    <row r="63" spans="1:13" ht="16.5">
      <c r="A63" s="1" t="s">
        <v>96</v>
      </c>
      <c r="E63" s="10">
        <f>+E7/B7</f>
        <v>0.34534406445317756</v>
      </c>
      <c r="F63" s="10">
        <f>+F7/B7</f>
        <v>0.032713178700559536</v>
      </c>
      <c r="G63" s="10">
        <f>+G7/B7</f>
        <v>0.1396166266139887</v>
      </c>
      <c r="H63" s="10">
        <f>+H7/B7</f>
        <v>4.406486854311973E-05</v>
      </c>
      <c r="I63" s="10">
        <f>+I7/B7</f>
        <v>0.007022986510913007</v>
      </c>
      <c r="J63" s="10">
        <f>+J7/B7</f>
        <v>3.1412472272091175E-05</v>
      </c>
      <c r="K63" s="10">
        <f>+K7/B7</f>
        <v>0.03806768147095755</v>
      </c>
      <c r="L63" s="10">
        <f>+L7/B7</f>
        <v>0.4371599849095884</v>
      </c>
      <c r="M63" s="10">
        <f>SUM(E63:L63)</f>
        <v>1</v>
      </c>
    </row>
    <row r="64" spans="1:13" ht="16.5">
      <c r="A64" s="1" t="s">
        <v>68</v>
      </c>
      <c r="E64" s="10">
        <f aca="true" t="shared" si="5" ref="E64:L64">+E8/$B$8</f>
        <v>0.269118118771237</v>
      </c>
      <c r="F64" s="10">
        <f t="shared" si="5"/>
        <v>0.005286592765495875</v>
      </c>
      <c r="G64" s="10">
        <f t="shared" si="5"/>
        <v>0.07887122528720479</v>
      </c>
      <c r="H64" s="10">
        <f t="shared" si="5"/>
        <v>0.17772249680883576</v>
      </c>
      <c r="I64" s="10">
        <f t="shared" si="5"/>
        <v>0.0017309863544020085</v>
      </c>
      <c r="J64" s="10">
        <f t="shared" si="5"/>
        <v>0.0010483378978467883</v>
      </c>
      <c r="K64" s="10">
        <f t="shared" si="5"/>
        <v>0.026146458706634623</v>
      </c>
      <c r="L64" s="10">
        <f t="shared" si="5"/>
        <v>0.4400757834083432</v>
      </c>
      <c r="M64" s="10">
        <f aca="true" t="shared" si="6" ref="M64:M71">SUM(E64:L64)</f>
        <v>1</v>
      </c>
    </row>
    <row r="65" spans="1:13" ht="16.5">
      <c r="A65" s="1" t="s">
        <v>69</v>
      </c>
      <c r="E65" s="10">
        <f>+E9/$B$9</f>
        <v>0.14407773568092538</v>
      </c>
      <c r="F65" s="10">
        <f aca="true" t="shared" si="7" ref="F65:L65">+F9/$B$9</f>
        <v>0.011119475561342029</v>
      </c>
      <c r="G65" s="10">
        <f t="shared" si="7"/>
        <v>0.05993369767426333</v>
      </c>
      <c r="H65" s="10">
        <f t="shared" si="7"/>
        <v>0.00044225252914249053</v>
      </c>
      <c r="I65" s="10">
        <f t="shared" si="7"/>
        <v>0.002143103726515198</v>
      </c>
      <c r="J65" s="10">
        <f t="shared" si="7"/>
        <v>0.2359840825510306</v>
      </c>
      <c r="K65" s="10">
        <f t="shared" si="7"/>
        <v>0.01888860985548488</v>
      </c>
      <c r="L65" s="10">
        <f t="shared" si="7"/>
        <v>0.5274110424212961</v>
      </c>
      <c r="M65" s="10">
        <f t="shared" si="6"/>
        <v>1</v>
      </c>
    </row>
    <row r="66" spans="1:13" ht="16.5">
      <c r="A66" s="1" t="s">
        <v>72</v>
      </c>
      <c r="E66" s="10">
        <f>+E10/$B$10</f>
        <v>0.4612171419896342</v>
      </c>
      <c r="F66" s="10">
        <f aca="true" t="shared" si="8" ref="F66:L66">+F10/$B$10</f>
        <v>0.014275246470731912</v>
      </c>
      <c r="G66" s="10">
        <f t="shared" si="8"/>
        <v>0.17828323277207947</v>
      </c>
      <c r="H66" s="10">
        <f t="shared" si="8"/>
        <v>0.00020621324418839933</v>
      </c>
      <c r="I66" s="10">
        <f t="shared" si="8"/>
        <v>0.0024709708109638575</v>
      </c>
      <c r="J66" s="10">
        <f t="shared" si="8"/>
        <v>0</v>
      </c>
      <c r="K66" s="10">
        <f t="shared" si="8"/>
        <v>0.02893986326028953</v>
      </c>
      <c r="L66" s="10">
        <f t="shared" si="8"/>
        <v>0.31460733145211267</v>
      </c>
      <c r="M66" s="10">
        <f t="shared" si="6"/>
        <v>1</v>
      </c>
    </row>
    <row r="67" spans="1:13" ht="16.5">
      <c r="A67" s="1" t="s">
        <v>70</v>
      </c>
      <c r="E67" s="10">
        <f>+E11/$B$11</f>
        <v>0.3949737131285223</v>
      </c>
      <c r="F67" s="10">
        <f aca="true" t="shared" si="9" ref="F67:L67">+F11/$B$11</f>
        <v>0.004374028665170092</v>
      </c>
      <c r="G67" s="10">
        <f t="shared" si="9"/>
        <v>0.008924804948116984</v>
      </c>
      <c r="H67" s="10">
        <f t="shared" si="9"/>
        <v>0.07981912371862294</v>
      </c>
      <c r="I67" s="10">
        <f t="shared" si="9"/>
        <v>0.00201118506773834</v>
      </c>
      <c r="J67" s="10">
        <f t="shared" si="9"/>
        <v>0</v>
      </c>
      <c r="K67" s="10">
        <f t="shared" si="9"/>
        <v>0.049457119982417856</v>
      </c>
      <c r="L67" s="10">
        <f t="shared" si="9"/>
        <v>0.4604400244894115</v>
      </c>
      <c r="M67" s="10">
        <f t="shared" si="6"/>
        <v>1</v>
      </c>
    </row>
    <row r="68" spans="1:13" ht="16.5">
      <c r="A68" s="1" t="s">
        <v>99</v>
      </c>
      <c r="E68" s="10">
        <f>+E12/$B$12</f>
        <v>0.3787115507290208</v>
      </c>
      <c r="F68" s="10">
        <f aca="true" t="shared" si="10" ref="F68:L68">+F12/$B$12</f>
        <v>0</v>
      </c>
      <c r="G68" s="10">
        <f t="shared" si="10"/>
        <v>0.07248039890920088</v>
      </c>
      <c r="H68" s="10">
        <f t="shared" si="10"/>
        <v>0</v>
      </c>
      <c r="I68" s="10">
        <f t="shared" si="10"/>
        <v>0.00031105056763742366</v>
      </c>
      <c r="J68" s="10">
        <f t="shared" si="10"/>
        <v>0</v>
      </c>
      <c r="K68" s="10">
        <f t="shared" si="10"/>
        <v>0.02803036040592366</v>
      </c>
      <c r="L68" s="10">
        <f t="shared" si="10"/>
        <v>0.5204666393882172</v>
      </c>
      <c r="M68" s="10">
        <f t="shared" si="6"/>
        <v>1</v>
      </c>
    </row>
    <row r="69" spans="1:13" ht="16.5">
      <c r="A69" s="1" t="s">
        <v>73</v>
      </c>
      <c r="E69" s="10">
        <f>+E13/$B$13</f>
        <v>0.34607794258570385</v>
      </c>
      <c r="F69" s="10">
        <f aca="true" t="shared" si="11" ref="F69:L69">+F13/$B$13</f>
        <v>0.09178973627052102</v>
      </c>
      <c r="G69" s="10">
        <f t="shared" si="11"/>
        <v>0.12121065443114148</v>
      </c>
      <c r="H69" s="10">
        <f t="shared" si="11"/>
        <v>0.003413448826547949</v>
      </c>
      <c r="I69" s="10">
        <f t="shared" si="11"/>
        <v>0.0029887798660752653</v>
      </c>
      <c r="J69" s="10">
        <f t="shared" si="11"/>
        <v>0.02687854183196591</v>
      </c>
      <c r="K69" s="10">
        <f t="shared" si="11"/>
        <v>0.04616879642909968</v>
      </c>
      <c r="L69" s="10">
        <f t="shared" si="11"/>
        <v>0.3614720997589449</v>
      </c>
      <c r="M69" s="10">
        <f t="shared" si="6"/>
        <v>1</v>
      </c>
    </row>
    <row r="70" spans="1:13" ht="16.5">
      <c r="A70" s="1" t="s">
        <v>74</v>
      </c>
      <c r="E70" s="10">
        <f>+E14/$B$14</f>
        <v>0.34407216394372825</v>
      </c>
      <c r="F70" s="10">
        <f aca="true" t="shared" si="12" ref="F70:L70">+F14/$B$14</f>
        <v>0.014821972456102228</v>
      </c>
      <c r="G70" s="10">
        <f t="shared" si="12"/>
        <v>0.22732358412858153</v>
      </c>
      <c r="H70" s="10">
        <f t="shared" si="12"/>
        <v>0.05795488327737299</v>
      </c>
      <c r="I70" s="10">
        <f t="shared" si="12"/>
        <v>0.005771339590400568</v>
      </c>
      <c r="J70" s="10">
        <f t="shared" si="12"/>
        <v>0.01289102278576415</v>
      </c>
      <c r="K70" s="10">
        <f t="shared" si="12"/>
        <v>0.02500583667278609</v>
      </c>
      <c r="L70" s="10">
        <f t="shared" si="12"/>
        <v>0.3121591971452642</v>
      </c>
      <c r="M70" s="10">
        <f t="shared" si="6"/>
        <v>1</v>
      </c>
    </row>
    <row r="71" spans="1:13" ht="16.5">
      <c r="A71" s="1" t="s">
        <v>71</v>
      </c>
      <c r="E71" s="10">
        <f>+E15/$B$15</f>
        <v>0.26840562531205503</v>
      </c>
      <c r="F71" s="10">
        <f aca="true" t="shared" si="13" ref="F71:L71">+F15/$B$15</f>
        <v>0.006869726501100282</v>
      </c>
      <c r="G71" s="10">
        <f t="shared" si="13"/>
        <v>0.21688605137119293</v>
      </c>
      <c r="H71" s="10">
        <f t="shared" si="13"/>
        <v>0.183019993712669</v>
      </c>
      <c r="I71" s="10">
        <f t="shared" si="13"/>
        <v>0.0022798971836455423</v>
      </c>
      <c r="J71" s="10">
        <f t="shared" si="13"/>
        <v>0.0023303881502302276</v>
      </c>
      <c r="K71" s="10">
        <f t="shared" si="13"/>
        <v>0.01111032786582096</v>
      </c>
      <c r="L71" s="10">
        <f t="shared" si="13"/>
        <v>0.3090979899032861</v>
      </c>
      <c r="M71" s="10">
        <f t="shared" si="6"/>
        <v>1</v>
      </c>
    </row>
  </sheetData>
  <mergeCells count="1">
    <mergeCell ref="E3:K3"/>
  </mergeCells>
  <printOptions horizontalCentered="1"/>
  <pageMargins left="0.76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5"/>
  <sheetViews>
    <sheetView workbookViewId="0" topLeftCell="D1">
      <selection activeCell="J16" sqref="J16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6.8515625" style="1" customWidth="1"/>
    <col min="5" max="5" width="9.421875" style="1" customWidth="1"/>
    <col min="6" max="6" width="9.28125" style="1" customWidth="1"/>
    <col min="7" max="7" width="10.8515625" style="1" customWidth="1"/>
    <col min="8" max="8" width="7.421875" style="1" customWidth="1"/>
    <col min="9" max="9" width="10.7109375" style="1" customWidth="1"/>
    <col min="10" max="10" width="7.140625" style="1" customWidth="1"/>
    <col min="11" max="11" width="10.8515625" style="1" customWidth="1"/>
    <col min="12" max="12" width="6.8515625" style="1" customWidth="1"/>
    <col min="13" max="13" width="9.57421875" style="1" customWidth="1"/>
    <col min="14" max="14" width="7.421875" style="1" customWidth="1"/>
    <col min="15" max="15" width="10.7109375" style="1" customWidth="1"/>
    <col min="16" max="16" width="11.8515625" style="1" customWidth="1"/>
    <col min="17" max="17" width="12.00390625" style="1" customWidth="1"/>
    <col min="18" max="16384" width="11.421875" style="1" customWidth="1"/>
  </cols>
  <sheetData>
    <row r="2" spans="1:15" ht="18">
      <c r="A2" s="151" t="s">
        <v>0</v>
      </c>
      <c r="B2" s="164" t="s">
        <v>106</v>
      </c>
      <c r="C2" s="164"/>
      <c r="D2" s="169"/>
      <c r="E2" s="169"/>
      <c r="I2" s="21" t="s">
        <v>24</v>
      </c>
      <c r="J2" s="21"/>
      <c r="K2" s="158">
        <v>40360</v>
      </c>
      <c r="L2" s="122"/>
      <c r="M2" s="122"/>
      <c r="O2" s="20"/>
    </row>
    <row r="3" spans="2:4" ht="6.75" customHeight="1">
      <c r="B3" s="170"/>
      <c r="C3" s="170"/>
      <c r="D3" s="67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7" ht="17.25">
      <c r="A7" s="31" t="s">
        <v>15</v>
      </c>
      <c r="B7" s="68">
        <v>905732</v>
      </c>
      <c r="C7" s="33">
        <f>5723.57+288984.29+256.99+39528.51+1082.37+50905.35+706.31+95913.33</f>
        <v>483100.72</v>
      </c>
      <c r="D7" s="68">
        <v>16165</v>
      </c>
      <c r="E7" s="33">
        <f>1854.7+11703.92</f>
        <v>13558.62</v>
      </c>
      <c r="F7" s="68">
        <v>192020</v>
      </c>
      <c r="G7" s="33">
        <f>19885.94+300613.72+6440</f>
        <v>326939.66</v>
      </c>
      <c r="H7" s="68">
        <v>405000</v>
      </c>
      <c r="I7" s="33">
        <f>31732.13+542192.57+32822.46</f>
        <v>606747.1599999999</v>
      </c>
      <c r="J7" s="68">
        <v>0</v>
      </c>
      <c r="K7" s="33">
        <f>461.8+576.06</f>
        <v>1037.86</v>
      </c>
      <c r="L7" s="68">
        <v>0</v>
      </c>
      <c r="M7" s="33">
        <f>2932.52+23259.83</f>
        <v>26192.350000000002</v>
      </c>
      <c r="N7" s="68">
        <v>250000</v>
      </c>
      <c r="O7" s="33">
        <v>105347.44</v>
      </c>
      <c r="P7" s="34">
        <f>+O7+K7+I7+G7+E7+C7+M7</f>
        <v>1562923.81</v>
      </c>
      <c r="Q7" s="34">
        <f>+B7+D7+F7+H7+J7+N7-P7</f>
        <v>205993.18999999994</v>
      </c>
    </row>
    <row r="8" spans="1:17" ht="17.25">
      <c r="A8" s="31" t="s">
        <v>84</v>
      </c>
      <c r="B8" s="68">
        <v>132988</v>
      </c>
      <c r="C8" s="33">
        <f>440.27+75418.58</f>
        <v>75858.85</v>
      </c>
      <c r="D8" s="68">
        <v>0</v>
      </c>
      <c r="E8" s="33">
        <v>360</v>
      </c>
      <c r="F8" s="68">
        <v>0</v>
      </c>
      <c r="G8" s="33">
        <f>4470.38+9532.2</f>
        <v>14002.580000000002</v>
      </c>
      <c r="H8" s="68">
        <v>0</v>
      </c>
      <c r="I8" s="33">
        <v>0</v>
      </c>
      <c r="J8" s="68">
        <v>0</v>
      </c>
      <c r="K8" s="33">
        <v>1161</v>
      </c>
      <c r="L8" s="68">
        <v>0</v>
      </c>
      <c r="M8" s="33">
        <v>0</v>
      </c>
      <c r="N8" s="68">
        <v>0</v>
      </c>
      <c r="O8" s="37">
        <v>4242.69</v>
      </c>
      <c r="P8" s="34">
        <f>+O8+K8+I8+G8+E8+C8</f>
        <v>95625.12000000001</v>
      </c>
      <c r="Q8" s="34">
        <f>+B8+D8+F8+H8+J8+N8-P8</f>
        <v>37362.87999999999</v>
      </c>
    </row>
    <row r="9" spans="1:17" ht="17.25">
      <c r="A9" s="31" t="s">
        <v>85</v>
      </c>
      <c r="B9" s="68">
        <v>203537</v>
      </c>
      <c r="C9" s="33">
        <f>1202.51+146575.54</f>
        <v>147778.05000000002</v>
      </c>
      <c r="D9" s="68">
        <v>0</v>
      </c>
      <c r="E9" s="33">
        <f>329.25+1200</f>
        <v>1529.25</v>
      </c>
      <c r="F9" s="68">
        <v>360094</v>
      </c>
      <c r="G9" s="33">
        <f>19586+140991.15</f>
        <v>160577.15</v>
      </c>
      <c r="H9" s="68">
        <v>0</v>
      </c>
      <c r="I9" s="33">
        <v>0</v>
      </c>
      <c r="J9" s="68">
        <v>0</v>
      </c>
      <c r="K9" s="33">
        <v>295</v>
      </c>
      <c r="L9" s="68">
        <v>0</v>
      </c>
      <c r="M9" s="33">
        <v>0</v>
      </c>
      <c r="N9" s="68">
        <v>0</v>
      </c>
      <c r="O9" s="37">
        <v>9478.02</v>
      </c>
      <c r="P9" s="34">
        <f>+O9+K9+I9+G9+E9+C9+M9</f>
        <v>319657.47</v>
      </c>
      <c r="Q9" s="34">
        <f aca="true" t="shared" si="0" ref="Q9:Q15">+B9+D9+F9+H9+J9+N9-P9</f>
        <v>243973.53000000003</v>
      </c>
    </row>
    <row r="10" spans="1:17" ht="17.25">
      <c r="A10" s="31" t="s">
        <v>75</v>
      </c>
      <c r="B10" s="68">
        <v>673259</v>
      </c>
      <c r="C10" s="33">
        <f>1688.23+173034.89+2861.68+120090.51+11.8+39111.07+3+8584.25</f>
        <v>345385.43</v>
      </c>
      <c r="D10" s="68">
        <v>1600</v>
      </c>
      <c r="E10" s="33">
        <v>5951.08</v>
      </c>
      <c r="F10" s="68">
        <v>10700</v>
      </c>
      <c r="G10" s="33">
        <f>5687.28+754.07</f>
        <v>6441.349999999999</v>
      </c>
      <c r="H10" s="68">
        <v>0</v>
      </c>
      <c r="I10" s="33">
        <v>0</v>
      </c>
      <c r="J10" s="68">
        <v>0</v>
      </c>
      <c r="K10" s="33">
        <f>880+5001</f>
        <v>5881</v>
      </c>
      <c r="L10" s="68">
        <v>0</v>
      </c>
      <c r="M10" s="33">
        <v>1059.42</v>
      </c>
      <c r="N10" s="68">
        <v>0</v>
      </c>
      <c r="O10" s="37">
        <v>23537.04</v>
      </c>
      <c r="P10" s="34">
        <f>+O10+K10+I10+G10+E10+C10+M10</f>
        <v>388255.32</v>
      </c>
      <c r="Q10" s="34">
        <f t="shared" si="0"/>
        <v>297303.68</v>
      </c>
    </row>
    <row r="11" spans="1:17" ht="17.25">
      <c r="A11" s="31" t="s">
        <v>107</v>
      </c>
      <c r="B11" s="68">
        <v>444172</v>
      </c>
      <c r="C11" s="33">
        <f>1792.28+326740.47</f>
        <v>328532.75</v>
      </c>
      <c r="D11" s="68">
        <v>12000</v>
      </c>
      <c r="E11" s="33">
        <f>890+2241.4</f>
        <v>3131.4</v>
      </c>
      <c r="F11" s="68">
        <v>90000</v>
      </c>
      <c r="G11" s="33">
        <f>5766.45+47628.55</f>
        <v>53395</v>
      </c>
      <c r="H11" s="68">
        <v>0</v>
      </c>
      <c r="I11" s="33">
        <v>0</v>
      </c>
      <c r="J11" s="68">
        <v>5000</v>
      </c>
      <c r="K11" s="33">
        <f>3104+4699</f>
        <v>7803</v>
      </c>
      <c r="L11" s="68">
        <v>0</v>
      </c>
      <c r="M11" s="33">
        <v>136.42</v>
      </c>
      <c r="N11" s="68">
        <v>0</v>
      </c>
      <c r="O11" s="37">
        <v>23248.77</v>
      </c>
      <c r="P11" s="34">
        <f>+O11+K11+I11+G11+E11+C11+M11</f>
        <v>416247.33999999997</v>
      </c>
      <c r="Q11" s="34">
        <f t="shared" si="0"/>
        <v>134924.66000000003</v>
      </c>
    </row>
    <row r="12" spans="1:17" ht="17.25">
      <c r="A12" s="31" t="s">
        <v>12</v>
      </c>
      <c r="B12" s="68">
        <v>196210</v>
      </c>
      <c r="C12" s="33">
        <f>463.19+100898.8</f>
        <v>101361.99</v>
      </c>
      <c r="D12" s="68">
        <v>6000</v>
      </c>
      <c r="E12" s="33">
        <v>1100</v>
      </c>
      <c r="F12" s="68">
        <v>168500</v>
      </c>
      <c r="G12" s="33">
        <v>1958.65</v>
      </c>
      <c r="H12" s="68">
        <v>0</v>
      </c>
      <c r="I12" s="33">
        <v>0</v>
      </c>
      <c r="J12" s="68">
        <v>0</v>
      </c>
      <c r="K12" s="33">
        <f>3906.4+240426.88</f>
        <v>244333.28</v>
      </c>
      <c r="L12" s="68">
        <v>0</v>
      </c>
      <c r="M12" s="33">
        <v>0</v>
      </c>
      <c r="N12" s="68">
        <v>0</v>
      </c>
      <c r="O12" s="37">
        <v>9160.9</v>
      </c>
      <c r="P12" s="34">
        <f>+O12+K12+I12+G12+E12+C12</f>
        <v>357914.82</v>
      </c>
      <c r="Q12" s="34">
        <f t="shared" si="0"/>
        <v>12795.179999999993</v>
      </c>
    </row>
    <row r="13" spans="1:17" ht="17.25">
      <c r="A13" s="31" t="s">
        <v>79</v>
      </c>
      <c r="B13" s="68">
        <v>521894</v>
      </c>
      <c r="C13" s="33">
        <f>3025.2+317614.08</f>
        <v>320639.28</v>
      </c>
      <c r="D13" s="68">
        <v>16449</v>
      </c>
      <c r="E13" s="33">
        <f>1695.51+11370.83</f>
        <v>13066.34</v>
      </c>
      <c r="F13" s="68">
        <v>55000</v>
      </c>
      <c r="G13" s="33">
        <f>7518.59+10946.34</f>
        <v>18464.93</v>
      </c>
      <c r="H13" s="68">
        <v>102000</v>
      </c>
      <c r="I13" s="33">
        <f>12617.32+47994.24</f>
        <v>60611.56</v>
      </c>
      <c r="J13" s="68">
        <v>0</v>
      </c>
      <c r="K13" s="33">
        <f>375.33+1085.03</f>
        <v>1460.36</v>
      </c>
      <c r="L13" s="68">
        <v>0</v>
      </c>
      <c r="M13" s="33">
        <v>0</v>
      </c>
      <c r="N13" s="68">
        <v>0</v>
      </c>
      <c r="O13" s="37">
        <v>20998.23</v>
      </c>
      <c r="P13" s="34">
        <f>+O13+K13+I13+G13+E13+C13</f>
        <v>435240.7</v>
      </c>
      <c r="Q13" s="34">
        <f>+B13+D13+F13+H13+J13+N13-P13+L13</f>
        <v>260102.3</v>
      </c>
    </row>
    <row r="14" spans="1:17" ht="17.25">
      <c r="A14" s="31" t="s">
        <v>78</v>
      </c>
      <c r="B14" s="68">
        <v>300165</v>
      </c>
      <c r="C14" s="33">
        <f>1352.11+180901.28</f>
        <v>182253.38999999998</v>
      </c>
      <c r="D14" s="68">
        <f>35000-15000</f>
        <v>20000</v>
      </c>
      <c r="E14" s="33">
        <f>241.74+2496.05</f>
        <v>2737.79</v>
      </c>
      <c r="F14" s="68">
        <v>646000</v>
      </c>
      <c r="G14" s="33">
        <f>86419.04+304977.83</f>
        <v>391396.87</v>
      </c>
      <c r="H14" s="68">
        <v>3000</v>
      </c>
      <c r="I14" s="33">
        <v>23677.5</v>
      </c>
      <c r="J14" s="68">
        <v>0</v>
      </c>
      <c r="K14" s="33">
        <v>571.35</v>
      </c>
      <c r="L14" s="68">
        <v>0</v>
      </c>
      <c r="M14" s="33">
        <v>1180</v>
      </c>
      <c r="N14" s="68">
        <v>0</v>
      </c>
      <c r="O14" s="37">
        <v>31335.46</v>
      </c>
      <c r="P14" s="34">
        <f>+O14+K14+I14+G14+E14+C14+M14</f>
        <v>633152.36</v>
      </c>
      <c r="Q14" s="34">
        <f t="shared" si="0"/>
        <v>336012.64</v>
      </c>
    </row>
    <row r="15" spans="1:17" ht="17.25">
      <c r="A15" s="31" t="s">
        <v>108</v>
      </c>
      <c r="B15" s="32">
        <v>64247</v>
      </c>
      <c r="C15" s="33">
        <f>459.28+35806.55</f>
        <v>36265.83</v>
      </c>
      <c r="D15" s="32">
        <v>2000</v>
      </c>
      <c r="E15" s="33">
        <v>0</v>
      </c>
      <c r="F15" s="32">
        <v>6300</v>
      </c>
      <c r="G15" s="33">
        <v>7238.72</v>
      </c>
      <c r="H15" s="32">
        <v>0</v>
      </c>
      <c r="I15" s="33">
        <v>0</v>
      </c>
      <c r="J15" s="32">
        <v>0</v>
      </c>
      <c r="K15" s="33">
        <v>0</v>
      </c>
      <c r="L15" s="68">
        <v>0</v>
      </c>
      <c r="M15" s="37">
        <v>0</v>
      </c>
      <c r="N15" s="32">
        <v>0</v>
      </c>
      <c r="O15" s="37">
        <v>2644.05</v>
      </c>
      <c r="P15" s="34">
        <f>+O15+K15+I15+G15+E15+C15</f>
        <v>46148.600000000006</v>
      </c>
      <c r="Q15" s="34">
        <f t="shared" si="0"/>
        <v>26398.399999999994</v>
      </c>
    </row>
    <row r="16" spans="1:17" ht="18" thickBot="1">
      <c r="A16" s="38" t="s">
        <v>11</v>
      </c>
      <c r="B16" s="39">
        <f aca="true" t="shared" si="1" ref="B16:Q16">SUM(B7:B15)</f>
        <v>3442204</v>
      </c>
      <c r="C16" s="40">
        <f t="shared" si="1"/>
        <v>2021176.29</v>
      </c>
      <c r="D16" s="39">
        <f t="shared" si="1"/>
        <v>74214</v>
      </c>
      <c r="E16" s="40">
        <f t="shared" si="1"/>
        <v>41434.48</v>
      </c>
      <c r="F16" s="39">
        <f t="shared" si="1"/>
        <v>1528614</v>
      </c>
      <c r="G16" s="40">
        <f t="shared" si="1"/>
        <v>980414.91</v>
      </c>
      <c r="H16" s="39">
        <f t="shared" si="1"/>
        <v>510000</v>
      </c>
      <c r="I16" s="40">
        <f t="shared" si="1"/>
        <v>691036.22</v>
      </c>
      <c r="J16" s="39">
        <f t="shared" si="1"/>
        <v>5000</v>
      </c>
      <c r="K16" s="40">
        <f t="shared" si="1"/>
        <v>262542.85</v>
      </c>
      <c r="L16" s="39">
        <f t="shared" si="1"/>
        <v>0</v>
      </c>
      <c r="M16" s="40">
        <f t="shared" si="1"/>
        <v>28568.190000000002</v>
      </c>
      <c r="N16" s="39">
        <f t="shared" si="1"/>
        <v>250000</v>
      </c>
      <c r="O16" s="40">
        <f t="shared" si="1"/>
        <v>229992.59999999998</v>
      </c>
      <c r="P16" s="42">
        <f t="shared" si="1"/>
        <v>4255165.54</v>
      </c>
      <c r="Q16" s="42">
        <f t="shared" si="1"/>
        <v>1554866.46</v>
      </c>
    </row>
    <row r="17" spans="1:17" ht="17.25" thickBot="1">
      <c r="A17" s="43" t="s">
        <v>31</v>
      </c>
      <c r="B17" s="44"/>
      <c r="C17" s="143">
        <f>+C16/B16</f>
        <v>0.5871750454069544</v>
      </c>
      <c r="D17" s="46"/>
      <c r="E17" s="143">
        <f>+E16/D16</f>
        <v>0.5583108308405422</v>
      </c>
      <c r="F17" s="143"/>
      <c r="G17" s="143">
        <f>+G16/F16</f>
        <v>0.6413750691803163</v>
      </c>
      <c r="H17" s="143"/>
      <c r="I17" s="143">
        <f>+I16/H16</f>
        <v>1.3549729803921569</v>
      </c>
      <c r="J17" s="143"/>
      <c r="K17" s="143">
        <f>+K16/J16</f>
        <v>52.50857</v>
      </c>
      <c r="L17" s="152"/>
      <c r="M17" s="152"/>
      <c r="N17" s="143"/>
      <c r="O17" s="153">
        <f>+O16/N16</f>
        <v>0.9199703999999999</v>
      </c>
      <c r="P17" s="58"/>
      <c r="Q17" s="58"/>
    </row>
    <row r="18" spans="1:17" ht="8.25" customHeight="1">
      <c r="A18" s="49"/>
      <c r="B18" s="4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ht="16.5">
      <c r="P19" s="52"/>
    </row>
    <row r="21" ht="17.25">
      <c r="P21" s="69"/>
    </row>
    <row r="22" ht="16.5">
      <c r="P22" s="70"/>
    </row>
    <row r="23" ht="16.5">
      <c r="P23" s="58"/>
    </row>
    <row r="24" ht="16.5">
      <c r="P24" s="58"/>
    </row>
    <row r="25" ht="16.5">
      <c r="P25" s="58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ht="16.5">
      <c r="C48" s="48"/>
    </row>
    <row r="50" spans="1:4" ht="16.5">
      <c r="A50" s="62" t="s">
        <v>27</v>
      </c>
      <c r="B50" s="71" t="s">
        <v>28</v>
      </c>
      <c r="C50" s="62" t="s">
        <v>29</v>
      </c>
      <c r="D50" s="62"/>
    </row>
    <row r="51" spans="1:3" ht="17.25">
      <c r="A51" s="64">
        <f>+B16</f>
        <v>3442204</v>
      </c>
      <c r="B51" s="65">
        <f>+C16</f>
        <v>2021176.29</v>
      </c>
      <c r="C51" s="62" t="s">
        <v>1</v>
      </c>
    </row>
    <row r="52" spans="1:3" ht="17.25">
      <c r="A52" s="64">
        <f>+D16</f>
        <v>74214</v>
      </c>
      <c r="B52" s="65">
        <f>+E16</f>
        <v>41434.48</v>
      </c>
      <c r="C52" s="62" t="s">
        <v>2</v>
      </c>
    </row>
    <row r="53" spans="1:3" ht="17.25">
      <c r="A53" s="64">
        <f>+F16</f>
        <v>1528614</v>
      </c>
      <c r="B53" s="65">
        <f>+G16</f>
        <v>980414.91</v>
      </c>
      <c r="C53" s="62" t="s">
        <v>3</v>
      </c>
    </row>
    <row r="54" spans="1:3" ht="17.25">
      <c r="A54" s="64">
        <f>+H16</f>
        <v>510000</v>
      </c>
      <c r="B54" s="65">
        <f>+I16</f>
        <v>691036.22</v>
      </c>
      <c r="C54" s="62" t="s">
        <v>35</v>
      </c>
    </row>
    <row r="55" spans="1:3" ht="17.25">
      <c r="A55" s="64">
        <f>+J16</f>
        <v>5000</v>
      </c>
      <c r="B55" s="65">
        <f>+K16</f>
        <v>262542.85</v>
      </c>
      <c r="C55" s="62" t="s">
        <v>33</v>
      </c>
    </row>
    <row r="56" spans="1:3" ht="17.25">
      <c r="A56" s="64">
        <v>0</v>
      </c>
      <c r="B56" s="65">
        <f>+M16</f>
        <v>28568.190000000002</v>
      </c>
      <c r="C56" s="62" t="s">
        <v>104</v>
      </c>
    </row>
    <row r="57" spans="1:3" ht="17.25">
      <c r="A57" s="64">
        <f>+N16</f>
        <v>250000</v>
      </c>
      <c r="B57" s="65">
        <f>+O16</f>
        <v>229992.59999999998</v>
      </c>
      <c r="C57" s="62" t="s">
        <v>36</v>
      </c>
    </row>
    <row r="58" spans="1:3" ht="17.25">
      <c r="A58" s="64"/>
      <c r="B58" s="64"/>
      <c r="C58" s="62"/>
    </row>
    <row r="59" spans="1:3" ht="17.25">
      <c r="A59" s="64">
        <v>866913</v>
      </c>
      <c r="B59" s="65">
        <v>406071.92</v>
      </c>
      <c r="C59" s="62"/>
    </row>
    <row r="60" spans="1:3" ht="17.25">
      <c r="A60" s="64"/>
      <c r="B60" s="64"/>
      <c r="C60" s="62"/>
    </row>
    <row r="61" spans="1:2" ht="17.25">
      <c r="A61" s="64"/>
      <c r="B61" s="64"/>
    </row>
    <row r="62" spans="1:2" ht="17.25">
      <c r="A62" s="64"/>
      <c r="B62" s="64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8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G5">
      <selection activeCell="P16" sqref="P16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421875" style="1" customWidth="1"/>
    <col min="4" max="4" width="7.8515625" style="1" customWidth="1"/>
    <col min="5" max="5" width="10.421875" style="1" customWidth="1"/>
    <col min="6" max="6" width="9.28125" style="1" customWidth="1"/>
    <col min="7" max="7" width="10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9.28125" style="1" customWidth="1"/>
    <col min="12" max="12" width="7.57421875" style="1" customWidth="1"/>
    <col min="13" max="13" width="9.28125" style="1" customWidth="1"/>
    <col min="14" max="14" width="9.421875" style="1" customWidth="1"/>
    <col min="15" max="16" width="11.8515625" style="1" customWidth="1"/>
    <col min="17" max="17" width="12.140625" style="1" customWidth="1"/>
    <col min="18" max="16384" width="11.421875" style="1" customWidth="1"/>
  </cols>
  <sheetData>
    <row r="1" spans="14:15" ht="16.5">
      <c r="N1" s="72"/>
      <c r="O1" s="72"/>
    </row>
    <row r="2" spans="1:15" ht="18">
      <c r="A2" s="151" t="s">
        <v>0</v>
      </c>
      <c r="B2" s="164" t="s">
        <v>109</v>
      </c>
      <c r="C2" s="175"/>
      <c r="D2" s="175"/>
      <c r="E2" s="175"/>
      <c r="F2" s="175"/>
      <c r="G2" s="155"/>
      <c r="L2" s="173" t="s">
        <v>24</v>
      </c>
      <c r="M2" s="174"/>
      <c r="N2" s="158">
        <v>40360</v>
      </c>
      <c r="O2" s="73"/>
    </row>
    <row r="3" spans="2:5" ht="12.75" customHeight="1">
      <c r="B3" s="176"/>
      <c r="C3" s="176"/>
      <c r="D3" s="176"/>
      <c r="E3" s="176"/>
    </row>
    <row r="4" spans="15:16" ht="18" thickBot="1">
      <c r="O4" s="74"/>
      <c r="P4" s="65"/>
    </row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75" t="s">
        <v>132</v>
      </c>
      <c r="I5" s="75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7" ht="17.25">
      <c r="A7" s="31" t="s">
        <v>15</v>
      </c>
      <c r="B7" s="32">
        <v>605403</v>
      </c>
      <c r="C7" s="33">
        <f>1631.89+127937.38+257.54+34840.14+764.75+90812.28+429.28+42440.29+3+21540.73</f>
        <v>320657.27999999997</v>
      </c>
      <c r="D7" s="68">
        <v>2500</v>
      </c>
      <c r="E7" s="33">
        <v>106.61</v>
      </c>
      <c r="F7" s="68">
        <v>97353</v>
      </c>
      <c r="G7" s="33">
        <f>1082.07+7191.46</f>
        <v>8273.53</v>
      </c>
      <c r="H7" s="68">
        <v>0</v>
      </c>
      <c r="I7" s="33">
        <v>0</v>
      </c>
      <c r="J7" s="68">
        <v>4070</v>
      </c>
      <c r="K7" s="33">
        <f>6299.29+204.01+171.75</f>
        <v>6675.05</v>
      </c>
      <c r="L7" s="68">
        <v>0</v>
      </c>
      <c r="M7" s="33">
        <v>0</v>
      </c>
      <c r="N7" s="68">
        <v>306720</v>
      </c>
      <c r="O7" s="33">
        <v>60676.96</v>
      </c>
      <c r="P7" s="34">
        <f>+C7+E7+G7+K7+O7+I7</f>
        <v>396389.43</v>
      </c>
      <c r="Q7" s="34">
        <f aca="true" t="shared" si="0" ref="Q7:Q13">+B7+D7+F7+J7+N7+H7-P7</f>
        <v>619656.5700000001</v>
      </c>
    </row>
    <row r="8" spans="1:17" ht="17.25">
      <c r="A8" s="31" t="s">
        <v>6</v>
      </c>
      <c r="B8" s="32">
        <v>218528</v>
      </c>
      <c r="C8" s="33">
        <f>1557.56+146839.14+286.7+46231.71</f>
        <v>194915.11000000002</v>
      </c>
      <c r="D8" s="68">
        <v>1000</v>
      </c>
      <c r="E8" s="33">
        <f>65+3.5</f>
        <v>68.5</v>
      </c>
      <c r="F8" s="68">
        <v>1130050</v>
      </c>
      <c r="G8" s="33">
        <f>11527.8+421108.31+95</f>
        <v>432731.11</v>
      </c>
      <c r="H8" s="68">
        <v>0</v>
      </c>
      <c r="I8" s="33">
        <v>0</v>
      </c>
      <c r="J8" s="68">
        <v>0</v>
      </c>
      <c r="K8" s="33">
        <v>415</v>
      </c>
      <c r="L8" s="68">
        <v>0</v>
      </c>
      <c r="M8" s="33">
        <v>0</v>
      </c>
      <c r="N8" s="68">
        <v>0</v>
      </c>
      <c r="O8" s="33">
        <v>13746.76</v>
      </c>
      <c r="P8" s="34">
        <f>+C8+E8+G8+K8+O8+I8</f>
        <v>641876.48</v>
      </c>
      <c r="Q8" s="34">
        <f t="shared" si="0"/>
        <v>707701.52</v>
      </c>
    </row>
    <row r="9" spans="1:17" ht="17.25">
      <c r="A9" s="31" t="s">
        <v>103</v>
      </c>
      <c r="B9" s="32">
        <v>812169</v>
      </c>
      <c r="C9" s="33">
        <f>5980.89+297513.86+1741.24+87069.66+1885.33+23567.37+3497.71+58281.9</f>
        <v>479537.9600000001</v>
      </c>
      <c r="D9" s="68">
        <v>5000</v>
      </c>
      <c r="E9" s="33">
        <f>123+1701.8</f>
        <v>1824.8</v>
      </c>
      <c r="F9" s="68">
        <v>60931</v>
      </c>
      <c r="G9" s="33">
        <f>1425+21463.44</f>
        <v>22888.44</v>
      </c>
      <c r="H9" s="68">
        <v>0</v>
      </c>
      <c r="I9" s="33">
        <v>0</v>
      </c>
      <c r="J9" s="68">
        <v>16000</v>
      </c>
      <c r="K9" s="33">
        <f>9297+18710.13</f>
        <v>28007.13</v>
      </c>
      <c r="L9" s="68">
        <v>0</v>
      </c>
      <c r="M9" s="33">
        <v>0</v>
      </c>
      <c r="N9" s="68">
        <v>0</v>
      </c>
      <c r="O9" s="33">
        <v>44125.13</v>
      </c>
      <c r="P9" s="34">
        <f>+C9+E9+G9+K9+O9+I9</f>
        <v>576383.4600000001</v>
      </c>
      <c r="Q9" s="34">
        <f t="shared" si="0"/>
        <v>317716.5399999999</v>
      </c>
    </row>
    <row r="10" spans="1:17" ht="17.25">
      <c r="A10" s="31" t="s">
        <v>7</v>
      </c>
      <c r="B10" s="32">
        <v>352266</v>
      </c>
      <c r="C10" s="33">
        <f>1950.31+165258.69+191.2+2565.97+3+11880.29</f>
        <v>181849.46000000002</v>
      </c>
      <c r="D10" s="68">
        <v>6720</v>
      </c>
      <c r="E10" s="33">
        <f>2000.63+8648.41</f>
        <v>10649.04</v>
      </c>
      <c r="F10" s="68">
        <v>3500</v>
      </c>
      <c r="G10" s="33">
        <f>3143.18+1191</f>
        <v>4334.18</v>
      </c>
      <c r="H10" s="68">
        <v>0</v>
      </c>
      <c r="I10" s="33">
        <v>0</v>
      </c>
      <c r="J10" s="68">
        <v>0</v>
      </c>
      <c r="K10" s="33">
        <f>280+766.04</f>
        <v>1046.04</v>
      </c>
      <c r="L10" s="68">
        <v>0</v>
      </c>
      <c r="M10" s="33">
        <v>173.94</v>
      </c>
      <c r="N10" s="68">
        <v>0</v>
      </c>
      <c r="O10" s="33">
        <v>12716.21</v>
      </c>
      <c r="P10" s="34">
        <f>+C10+E10+G10+K10+O10+I10+M10</f>
        <v>210768.87000000002</v>
      </c>
      <c r="Q10" s="34">
        <f t="shared" si="0"/>
        <v>151717.12999999998</v>
      </c>
    </row>
    <row r="11" spans="1:17" ht="17.25">
      <c r="A11" s="31" t="s">
        <v>9</v>
      </c>
      <c r="B11" s="32">
        <v>674011</v>
      </c>
      <c r="C11" s="33">
        <f>4495.11+310754.51</f>
        <v>315249.62</v>
      </c>
      <c r="D11" s="68">
        <v>0</v>
      </c>
      <c r="E11" s="33">
        <f>31+2240.59</f>
        <v>2271.59</v>
      </c>
      <c r="F11" s="68">
        <v>116833</v>
      </c>
      <c r="G11" s="33">
        <f>3591.6+168143.56</f>
        <v>171735.16</v>
      </c>
      <c r="H11" s="68">
        <v>0</v>
      </c>
      <c r="I11" s="33">
        <v>0</v>
      </c>
      <c r="J11" s="68">
        <v>0</v>
      </c>
      <c r="K11" s="33">
        <v>691.35</v>
      </c>
      <c r="L11" s="68">
        <v>0</v>
      </c>
      <c r="M11" s="33">
        <v>0</v>
      </c>
      <c r="N11" s="68">
        <v>0</v>
      </c>
      <c r="O11" s="33">
        <v>20206.19</v>
      </c>
      <c r="P11" s="34">
        <f>+C11+E11+G11+K11+O11+I11</f>
        <v>510153.91</v>
      </c>
      <c r="Q11" s="34">
        <f t="shared" si="0"/>
        <v>280690.09</v>
      </c>
    </row>
    <row r="12" spans="1:17" ht="17.25">
      <c r="A12" s="31" t="s">
        <v>8</v>
      </c>
      <c r="B12" s="32">
        <v>675785</v>
      </c>
      <c r="C12" s="33">
        <f>12648.58+264569.48+356.42+25421.16+1151.05+36890.44</f>
        <v>341037.12999999995</v>
      </c>
      <c r="D12" s="68">
        <v>254360</v>
      </c>
      <c r="E12" s="33">
        <f>47063.77+118986.41</f>
        <v>166050.18</v>
      </c>
      <c r="F12" s="68">
        <v>42574</v>
      </c>
      <c r="G12" s="33">
        <f>3289.7+125070.37</f>
        <v>128360.06999999999</v>
      </c>
      <c r="H12" s="68">
        <v>0</v>
      </c>
      <c r="I12" s="33">
        <v>244</v>
      </c>
      <c r="J12" s="68">
        <v>0</v>
      </c>
      <c r="K12" s="33">
        <f>485+710.9</f>
        <v>1195.9</v>
      </c>
      <c r="L12" s="68">
        <v>0</v>
      </c>
      <c r="M12" s="33">
        <v>0</v>
      </c>
      <c r="N12" s="68">
        <v>0</v>
      </c>
      <c r="O12" s="33">
        <v>55720.48</v>
      </c>
      <c r="P12" s="34">
        <f>+C12+E12+G12+K12+O12+I12+M12</f>
        <v>692607.7599999999</v>
      </c>
      <c r="Q12" s="34">
        <f t="shared" si="0"/>
        <v>280111.2400000001</v>
      </c>
    </row>
    <row r="13" spans="1:17" ht="17.25">
      <c r="A13" s="31" t="s">
        <v>10</v>
      </c>
      <c r="B13" s="32">
        <v>140718</v>
      </c>
      <c r="C13" s="33">
        <f>912.97+78111.05</f>
        <v>79024.02</v>
      </c>
      <c r="D13" s="68">
        <v>500</v>
      </c>
      <c r="E13" s="33">
        <v>171.67</v>
      </c>
      <c r="F13" s="68">
        <v>10300</v>
      </c>
      <c r="G13" s="33">
        <f>400+4375.4</f>
        <v>4775.4</v>
      </c>
      <c r="H13" s="68">
        <v>0</v>
      </c>
      <c r="I13" s="33">
        <v>0</v>
      </c>
      <c r="J13" s="68">
        <v>0</v>
      </c>
      <c r="K13" s="33">
        <f>166+691.85</f>
        <v>857.85</v>
      </c>
      <c r="L13" s="68">
        <v>0</v>
      </c>
      <c r="M13" s="33">
        <v>0</v>
      </c>
      <c r="N13" s="68">
        <v>0</v>
      </c>
      <c r="O13" s="33">
        <v>3600.1</v>
      </c>
      <c r="P13" s="34">
        <f>+C13+E13+G13+K13+O13+I13</f>
        <v>88429.04000000001</v>
      </c>
      <c r="Q13" s="34">
        <f t="shared" si="0"/>
        <v>63088.95999999999</v>
      </c>
    </row>
    <row r="14" spans="1:17" ht="18" thickBot="1">
      <c r="A14" s="38" t="s">
        <v>11</v>
      </c>
      <c r="B14" s="39">
        <f aca="true" t="shared" si="1" ref="B14:Q14">SUM(B7:B13)</f>
        <v>3478880</v>
      </c>
      <c r="C14" s="40">
        <f t="shared" si="1"/>
        <v>1912270.58</v>
      </c>
      <c r="D14" s="39">
        <f t="shared" si="1"/>
        <v>270080</v>
      </c>
      <c r="E14" s="40">
        <f t="shared" si="1"/>
        <v>181142.39</v>
      </c>
      <c r="F14" s="77">
        <f t="shared" si="1"/>
        <v>1461541</v>
      </c>
      <c r="G14" s="40">
        <f t="shared" si="1"/>
        <v>773097.89</v>
      </c>
      <c r="H14" s="77">
        <f t="shared" si="1"/>
        <v>0</v>
      </c>
      <c r="I14" s="40">
        <f t="shared" si="1"/>
        <v>244</v>
      </c>
      <c r="J14" s="39">
        <f t="shared" si="1"/>
        <v>20070</v>
      </c>
      <c r="K14" s="40">
        <f t="shared" si="1"/>
        <v>38888.32</v>
      </c>
      <c r="L14" s="39">
        <f>SUM(L7:L13)</f>
        <v>0</v>
      </c>
      <c r="M14" s="40">
        <f>SUM(M7:M13)</f>
        <v>173.94</v>
      </c>
      <c r="N14" s="39">
        <f t="shared" si="1"/>
        <v>306720</v>
      </c>
      <c r="O14" s="40">
        <f t="shared" si="1"/>
        <v>210791.83000000002</v>
      </c>
      <c r="P14" s="42">
        <f t="shared" si="1"/>
        <v>3116608.95</v>
      </c>
      <c r="Q14" s="42">
        <f t="shared" si="1"/>
        <v>2420682.05</v>
      </c>
    </row>
    <row r="15" spans="1:17" ht="17.25" thickBot="1">
      <c r="A15" s="43" t="s">
        <v>31</v>
      </c>
      <c r="B15" s="44"/>
      <c r="C15" s="143">
        <f>+C14/B14</f>
        <v>0.5496799487191281</v>
      </c>
      <c r="D15" s="143"/>
      <c r="E15" s="143">
        <f>+E14/D14</f>
        <v>0.6706990151066351</v>
      </c>
      <c r="F15" s="143"/>
      <c r="G15" s="143">
        <f>+G14/F14</f>
        <v>0.5289607954891447</v>
      </c>
      <c r="H15" s="45"/>
      <c r="I15" s="45"/>
      <c r="J15" s="45"/>
      <c r="K15" s="143">
        <f>+K14/J14</f>
        <v>1.9376342800199302</v>
      </c>
      <c r="L15" s="47"/>
      <c r="M15" s="47"/>
      <c r="N15" s="47"/>
      <c r="O15" s="145">
        <f>+O14/N14</f>
        <v>0.6872451421491915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4"/>
      <c r="Q16" s="5"/>
    </row>
    <row r="17" ht="16.5">
      <c r="P17" s="52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27</v>
      </c>
      <c r="B48" s="62" t="s">
        <v>28</v>
      </c>
      <c r="C48" s="62" t="s">
        <v>29</v>
      </c>
      <c r="D48" s="5"/>
    </row>
    <row r="49" spans="1:3" ht="16.5">
      <c r="A49" s="1">
        <f>+B14</f>
        <v>3478880</v>
      </c>
      <c r="B49" s="52">
        <f>+C14</f>
        <v>1912270.58</v>
      </c>
      <c r="C49" s="62" t="s">
        <v>1</v>
      </c>
    </row>
    <row r="50" spans="1:3" ht="16.5">
      <c r="A50" s="1">
        <f>+D14</f>
        <v>270080</v>
      </c>
      <c r="B50" s="52">
        <f>+E14</f>
        <v>181142.39</v>
      </c>
      <c r="C50" s="62" t="s">
        <v>2</v>
      </c>
    </row>
    <row r="51" spans="1:3" ht="16.5">
      <c r="A51" s="1">
        <f>+F14</f>
        <v>1461541</v>
      </c>
      <c r="B51" s="52">
        <f>+G14</f>
        <v>773097.89</v>
      </c>
      <c r="C51" s="62" t="s">
        <v>3</v>
      </c>
    </row>
    <row r="52" spans="1:3" ht="16.5" hidden="1">
      <c r="A52" s="78">
        <f>+H14</f>
        <v>0</v>
      </c>
      <c r="B52" s="52">
        <f>+I14</f>
        <v>244</v>
      </c>
      <c r="C52" s="62" t="s">
        <v>35</v>
      </c>
    </row>
    <row r="53" spans="1:3" ht="16.5">
      <c r="A53" s="1">
        <f>+J14</f>
        <v>20070</v>
      </c>
      <c r="B53" s="5">
        <f>+K14</f>
        <v>38888.32</v>
      </c>
      <c r="C53" s="62" t="s">
        <v>33</v>
      </c>
    </row>
    <row r="54" spans="1:3" ht="16.5">
      <c r="A54" s="1">
        <v>0</v>
      </c>
      <c r="B54" s="5">
        <f>+M14</f>
        <v>173.94</v>
      </c>
      <c r="C54" s="62" t="s">
        <v>104</v>
      </c>
    </row>
    <row r="55" spans="1:3" ht="17.25">
      <c r="A55" s="1">
        <f>+N14</f>
        <v>306720</v>
      </c>
      <c r="B55" s="65">
        <f>+O14</f>
        <v>210791.83000000002</v>
      </c>
      <c r="C55" s="62" t="s">
        <v>36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mergeCells count="9">
    <mergeCell ref="L2:M2"/>
    <mergeCell ref="B2:F2"/>
    <mergeCell ref="B3:E3"/>
    <mergeCell ref="J5:K5"/>
    <mergeCell ref="N5:O5"/>
    <mergeCell ref="B5:C5"/>
    <mergeCell ref="D5:E5"/>
    <mergeCell ref="F5:G5"/>
    <mergeCell ref="L5:M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7"/>
  <sheetViews>
    <sheetView workbookViewId="0" topLeftCell="B1">
      <selection activeCell="F13" sqref="F13"/>
    </sheetView>
  </sheetViews>
  <sheetFormatPr defaultColWidth="11.421875" defaultRowHeight="15"/>
  <cols>
    <col min="1" max="1" width="17.7109375" style="1" customWidth="1"/>
    <col min="2" max="2" width="9.140625" style="1" customWidth="1"/>
    <col min="3" max="3" width="12.421875" style="1" customWidth="1"/>
    <col min="4" max="4" width="7.7109375" style="1" customWidth="1"/>
    <col min="5" max="5" width="9.421875" style="1" customWidth="1"/>
    <col min="6" max="6" width="9.140625" style="1" customWidth="1"/>
    <col min="7" max="7" width="12.00390625" style="1" customWidth="1"/>
    <col min="8" max="8" width="9.140625" style="1" customWidth="1"/>
    <col min="9" max="9" width="11.85156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9.140625" style="1" customWidth="1"/>
    <col min="14" max="14" width="7.7109375" style="1" customWidth="1"/>
    <col min="15" max="15" width="10.140625" style="1" customWidth="1"/>
    <col min="16" max="16" width="12.140625" style="1" customWidth="1"/>
    <col min="17" max="17" width="13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110</v>
      </c>
      <c r="C2" s="164"/>
      <c r="D2" s="169"/>
      <c r="E2" s="169"/>
      <c r="I2" s="173" t="s">
        <v>24</v>
      </c>
      <c r="J2" s="173"/>
      <c r="K2" s="158">
        <v>40360</v>
      </c>
      <c r="L2" s="122"/>
      <c r="M2" s="122"/>
      <c r="N2" s="123"/>
      <c r="O2" s="56"/>
    </row>
    <row r="3" spans="2:4" ht="16.5">
      <c r="B3" s="177"/>
      <c r="C3" s="177"/>
      <c r="D3" s="67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33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1448146</v>
      </c>
      <c r="C7" s="33">
        <f>6931.73+503999.66+2493.7+47436.18</f>
        <v>560861.27</v>
      </c>
      <c r="D7" s="32">
        <f>23000-10000</f>
        <v>13000</v>
      </c>
      <c r="E7" s="33">
        <f>1450.32+11541.58</f>
        <v>12991.9</v>
      </c>
      <c r="F7" s="32">
        <v>464070</v>
      </c>
      <c r="G7" s="33">
        <f>19453.5+156105.84+5004.8+1088.32</f>
        <v>181652.46</v>
      </c>
      <c r="H7" s="32">
        <f>996418+100000</f>
        <v>1096418</v>
      </c>
      <c r="I7" s="33">
        <f>70378.81+361898.67+550</f>
        <v>432827.48</v>
      </c>
      <c r="J7" s="32">
        <v>25000</v>
      </c>
      <c r="K7" s="33">
        <f>7299.01+5303.23</f>
        <v>12602.24</v>
      </c>
      <c r="L7" s="32">
        <v>0</v>
      </c>
      <c r="M7" s="37">
        <f>12081.61+198.95</f>
        <v>12280.560000000001</v>
      </c>
      <c r="N7" s="32">
        <v>350000</v>
      </c>
      <c r="O7" s="33">
        <v>152977.93</v>
      </c>
      <c r="P7" s="34">
        <f>+C7+E7+G7+I7+K7+O7+M7</f>
        <v>1366193.8399999999</v>
      </c>
      <c r="Q7" s="34">
        <f aca="true" t="shared" si="0" ref="Q7:Q12">+B7+D7+F7+H7+J7+N7-P7</f>
        <v>2030440.1600000001</v>
      </c>
      <c r="R7" s="5"/>
    </row>
    <row r="8" spans="1:18" ht="17.25">
      <c r="A8" s="31" t="s">
        <v>76</v>
      </c>
      <c r="B8" s="32">
        <v>353044</v>
      </c>
      <c r="C8" s="33">
        <f>2056.22+168915.54</f>
        <v>170971.76</v>
      </c>
      <c r="D8" s="32">
        <f>199000-110000</f>
        <v>89000</v>
      </c>
      <c r="E8" s="33">
        <f>7421.56+46465.9</f>
        <v>53887.46</v>
      </c>
      <c r="F8" s="32">
        <v>540000</v>
      </c>
      <c r="G8" s="33">
        <f>38057.39+267811.13</f>
        <v>305868.52</v>
      </c>
      <c r="H8" s="32">
        <f>3525000-130000-120000</f>
        <v>3275000</v>
      </c>
      <c r="I8" s="33">
        <f>337402.95+569111.5</f>
        <v>906514.45</v>
      </c>
      <c r="J8" s="32">
        <v>0</v>
      </c>
      <c r="K8" s="33">
        <v>557.44</v>
      </c>
      <c r="L8" s="32">
        <v>0</v>
      </c>
      <c r="M8" s="37">
        <v>807.58</v>
      </c>
      <c r="N8" s="32">
        <v>0</v>
      </c>
      <c r="O8" s="33">
        <v>65292.38</v>
      </c>
      <c r="P8" s="34">
        <f>+C8+E8+G8+I8+K8+O8+M8</f>
        <v>1503899.5899999999</v>
      </c>
      <c r="Q8" s="34">
        <f t="shared" si="0"/>
        <v>2753144.41</v>
      </c>
      <c r="R8" s="5"/>
    </row>
    <row r="9" spans="1:18" ht="17.25">
      <c r="A9" s="31" t="s">
        <v>83</v>
      </c>
      <c r="B9" s="32">
        <v>3664393</v>
      </c>
      <c r="C9" s="33">
        <f>16622.88+1384257.44</f>
        <v>1400880.3199999998</v>
      </c>
      <c r="D9" s="32">
        <v>0</v>
      </c>
      <c r="E9" s="33">
        <f>465.54+3227.73</f>
        <v>3693.27</v>
      </c>
      <c r="F9" s="32">
        <v>86000</v>
      </c>
      <c r="G9" s="33">
        <f>42808.01+349059.77</f>
        <v>391867.78</v>
      </c>
      <c r="H9" s="32">
        <f>779000+20000</f>
        <v>799000</v>
      </c>
      <c r="I9" s="33">
        <f>35007.7+558665.7</f>
        <v>593673.3999999999</v>
      </c>
      <c r="J9" s="32">
        <v>0</v>
      </c>
      <c r="K9" s="33">
        <f>1230+8717.88</f>
        <v>9947.88</v>
      </c>
      <c r="L9" s="32">
        <v>0</v>
      </c>
      <c r="M9" s="37">
        <v>906.5</v>
      </c>
      <c r="N9" s="32">
        <v>0</v>
      </c>
      <c r="O9" s="33">
        <v>95122.79</v>
      </c>
      <c r="P9" s="34">
        <f>+C9+E9+G9+I9+K9+O9+M9</f>
        <v>2496091.9399999995</v>
      </c>
      <c r="Q9" s="34">
        <f t="shared" si="0"/>
        <v>2053301.0600000005</v>
      </c>
      <c r="R9" s="5"/>
    </row>
    <row r="10" spans="1:18" ht="17.25">
      <c r="A10" s="31" t="s">
        <v>126</v>
      </c>
      <c r="B10" s="32">
        <v>27130</v>
      </c>
      <c r="C10" s="33">
        <f>43452.84+1060871.9</f>
        <v>1104324.74</v>
      </c>
      <c r="D10" s="32">
        <v>6000</v>
      </c>
      <c r="E10" s="33">
        <v>0</v>
      </c>
      <c r="F10" s="32">
        <v>28500</v>
      </c>
      <c r="G10" s="33">
        <f>22803.1+82604.06</f>
        <v>105407.16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0</v>
      </c>
      <c r="P10" s="34">
        <f>+C10+E10+G10+I10+K10+O10+M10</f>
        <v>1209731.9</v>
      </c>
      <c r="Q10" s="34">
        <f t="shared" si="0"/>
        <v>-1148101.9</v>
      </c>
      <c r="R10" s="5"/>
    </row>
    <row r="11" spans="1:18" ht="17.25">
      <c r="A11" s="31" t="s">
        <v>111</v>
      </c>
      <c r="B11" s="32">
        <v>572659</v>
      </c>
      <c r="C11" s="33">
        <f>10268.39+345248.17</f>
        <v>355516.56</v>
      </c>
      <c r="D11" s="32">
        <v>6000</v>
      </c>
      <c r="E11" s="33">
        <v>0</v>
      </c>
      <c r="F11" s="32">
        <v>29000</v>
      </c>
      <c r="G11" s="33">
        <f>5978.9+62105.56</f>
        <v>68084.45999999999</v>
      </c>
      <c r="H11" s="32">
        <v>477000</v>
      </c>
      <c r="I11" s="33">
        <f>39600+399866.26</f>
        <v>439466.26</v>
      </c>
      <c r="J11" s="32">
        <v>0</v>
      </c>
      <c r="K11" s="33">
        <v>0</v>
      </c>
      <c r="L11" s="32">
        <v>0</v>
      </c>
      <c r="M11" s="37">
        <v>0</v>
      </c>
      <c r="N11" s="32">
        <v>0</v>
      </c>
      <c r="O11" s="33">
        <v>35645.39</v>
      </c>
      <c r="P11" s="34">
        <f>+C11+E11+G11+I11+K11+O11</f>
        <v>898712.67</v>
      </c>
      <c r="Q11" s="34">
        <f t="shared" si="0"/>
        <v>185946.32999999996</v>
      </c>
      <c r="R11" s="5"/>
    </row>
    <row r="12" spans="1:18" ht="17.25" hidden="1">
      <c r="A12" s="31" t="s">
        <v>77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>+C12+E12+G12+I12+K12+O12+M12</f>
        <v>0</v>
      </c>
      <c r="Q12" s="34">
        <f t="shared" si="0"/>
        <v>0</v>
      </c>
      <c r="R12" s="5"/>
    </row>
    <row r="13" spans="1:18" ht="18" thickBot="1">
      <c r="A13" s="38" t="s">
        <v>11</v>
      </c>
      <c r="B13" s="39">
        <f aca="true" t="shared" si="1" ref="B13:Q13">SUM(B7:B12)</f>
        <v>6065372</v>
      </c>
      <c r="C13" s="40">
        <f t="shared" si="1"/>
        <v>3592554.65</v>
      </c>
      <c r="D13" s="39">
        <f t="shared" si="1"/>
        <v>114000</v>
      </c>
      <c r="E13" s="40">
        <f t="shared" si="1"/>
        <v>70572.63</v>
      </c>
      <c r="F13" s="39">
        <f t="shared" si="1"/>
        <v>1147570</v>
      </c>
      <c r="G13" s="40">
        <f t="shared" si="1"/>
        <v>1052880.3800000001</v>
      </c>
      <c r="H13" s="39">
        <f t="shared" si="1"/>
        <v>5647418</v>
      </c>
      <c r="I13" s="40">
        <f t="shared" si="1"/>
        <v>2372481.59</v>
      </c>
      <c r="J13" s="39">
        <f t="shared" si="1"/>
        <v>25000</v>
      </c>
      <c r="K13" s="40">
        <f>SUM(K7:K12)</f>
        <v>23107.559999999998</v>
      </c>
      <c r="L13" s="39">
        <f>SUM(L7:L12)</f>
        <v>0</v>
      </c>
      <c r="M13" s="40">
        <f>SUM(M7:M12)</f>
        <v>13994.640000000001</v>
      </c>
      <c r="N13" s="39">
        <f t="shared" si="1"/>
        <v>350000</v>
      </c>
      <c r="O13" s="40">
        <f>SUM(O7:O12)</f>
        <v>349038.49</v>
      </c>
      <c r="P13" s="42">
        <f t="shared" si="1"/>
        <v>7474629.9399999995</v>
      </c>
      <c r="Q13" s="42">
        <f t="shared" si="1"/>
        <v>5874730.0600000005</v>
      </c>
      <c r="R13" s="5"/>
    </row>
    <row r="14" spans="1:17" ht="17.25" thickBot="1">
      <c r="A14" s="43" t="s">
        <v>31</v>
      </c>
      <c r="B14" s="44"/>
      <c r="C14" s="143">
        <f>+C13/B13</f>
        <v>0.5923057398622871</v>
      </c>
      <c r="D14" s="45"/>
      <c r="E14" s="143">
        <f>+E13/D13</f>
        <v>0.6190581578947368</v>
      </c>
      <c r="F14" s="45"/>
      <c r="G14" s="143">
        <f>+G13/F13</f>
        <v>0.9174868461183197</v>
      </c>
      <c r="H14" s="45"/>
      <c r="I14" s="143">
        <f>+I13/H13</f>
        <v>0.4201002281042416</v>
      </c>
      <c r="J14" s="45"/>
      <c r="K14" s="143"/>
      <c r="L14" s="47"/>
      <c r="M14" s="47"/>
      <c r="N14" s="45"/>
      <c r="O14" s="145">
        <f>+O13/N13</f>
        <v>0.9972528285714285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</row>
    <row r="16" spans="1:16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33" spans="5:8" ht="16.5">
      <c r="E33" s="59"/>
      <c r="F33" s="59"/>
      <c r="G33" s="60"/>
      <c r="H33" s="60"/>
    </row>
    <row r="34" spans="5:8" ht="16.5">
      <c r="E34" s="61"/>
      <c r="F34" s="61"/>
      <c r="G34" s="61"/>
      <c r="H34" s="61"/>
    </row>
    <row r="39" spans="1:6" ht="16.5">
      <c r="A39" s="53"/>
      <c r="B39" s="53"/>
      <c r="C39" s="53"/>
      <c r="D39" s="53"/>
      <c r="E39" s="53"/>
      <c r="F39" s="53"/>
    </row>
    <row r="40" ht="16.5">
      <c r="C40" s="48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5" ht="16.5">
      <c r="A48" s="62" t="s">
        <v>27</v>
      </c>
      <c r="B48" s="62" t="s">
        <v>28</v>
      </c>
      <c r="C48" s="62" t="s">
        <v>29</v>
      </c>
      <c r="D48" s="62"/>
      <c r="E48" s="63"/>
    </row>
    <row r="49" spans="1:3" ht="17.25">
      <c r="A49" s="64">
        <f>+B13</f>
        <v>6065372</v>
      </c>
      <c r="B49" s="65">
        <f>+C13</f>
        <v>3592554.65</v>
      </c>
      <c r="C49" s="62" t="s">
        <v>1</v>
      </c>
    </row>
    <row r="50" spans="1:3" ht="17.25">
      <c r="A50" s="64">
        <f>+D13</f>
        <v>114000</v>
      </c>
      <c r="B50" s="65">
        <f>+E13</f>
        <v>70572.63</v>
      </c>
      <c r="C50" s="62" t="s">
        <v>2</v>
      </c>
    </row>
    <row r="51" spans="1:3" ht="17.25">
      <c r="A51" s="64">
        <f>+F13</f>
        <v>1147570</v>
      </c>
      <c r="B51" s="65">
        <f>+G13</f>
        <v>1052880.3800000001</v>
      </c>
      <c r="C51" s="62" t="s">
        <v>3</v>
      </c>
    </row>
    <row r="52" spans="1:3" ht="17.25">
      <c r="A52" s="64">
        <f>+H13</f>
        <v>5647418</v>
      </c>
      <c r="B52" s="65">
        <f>+I13</f>
        <v>2372481.59</v>
      </c>
      <c r="C52" s="62" t="s">
        <v>35</v>
      </c>
    </row>
    <row r="53" spans="1:3" ht="17.25">
      <c r="A53" s="64">
        <f>+J13</f>
        <v>25000</v>
      </c>
      <c r="B53" s="65">
        <f>+K13</f>
        <v>23107.559999999998</v>
      </c>
      <c r="C53" s="62" t="s">
        <v>33</v>
      </c>
    </row>
    <row r="54" spans="1:3" ht="17.25">
      <c r="A54" s="66">
        <f>+L13</f>
        <v>0</v>
      </c>
      <c r="B54" s="65">
        <f>+M13</f>
        <v>13994.640000000001</v>
      </c>
      <c r="C54" s="62" t="s">
        <v>97</v>
      </c>
    </row>
    <row r="55" spans="1:3" ht="17.25">
      <c r="A55" s="64">
        <f>+N13</f>
        <v>350000</v>
      </c>
      <c r="B55" s="65">
        <f>+O13</f>
        <v>349038.49</v>
      </c>
      <c r="C55" s="62" t="s">
        <v>36</v>
      </c>
    </row>
    <row r="56" spans="1:3" ht="17.25">
      <c r="A56" s="64"/>
      <c r="B56" s="64"/>
      <c r="C56" s="62"/>
    </row>
    <row r="57" spans="1:2" ht="16.5">
      <c r="A57" s="1">
        <v>2809993</v>
      </c>
      <c r="B57" s="5">
        <v>749308.3</v>
      </c>
    </row>
  </sheetData>
  <mergeCells count="10">
    <mergeCell ref="I2:J2"/>
    <mergeCell ref="B3:C3"/>
    <mergeCell ref="N5:O5"/>
    <mergeCell ref="J5:K5"/>
    <mergeCell ref="B5:C5"/>
    <mergeCell ref="D5:E5"/>
    <mergeCell ref="F5:G5"/>
    <mergeCell ref="H5:I5"/>
    <mergeCell ref="L5:M5"/>
    <mergeCell ref="B2:E2"/>
  </mergeCells>
  <printOptions/>
  <pageMargins left="0.82" right="0.54" top="0.58" bottom="0.61" header="0.31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tabSelected="1" workbookViewId="0" topLeftCell="A1">
      <selection activeCell="B3" sqref="B3:D3"/>
    </sheetView>
  </sheetViews>
  <sheetFormatPr defaultColWidth="11.421875" defaultRowHeight="15"/>
  <cols>
    <col min="1" max="1" width="14.140625" style="1" customWidth="1"/>
    <col min="2" max="2" width="9.28125" style="1" customWidth="1"/>
    <col min="3" max="3" width="12.28125" style="1" customWidth="1"/>
    <col min="4" max="4" width="7.8515625" style="1" customWidth="1"/>
    <col min="5" max="5" width="10.28125" style="1" customWidth="1"/>
    <col min="6" max="6" width="9.00390625" style="1" customWidth="1"/>
    <col min="7" max="7" width="11.140625" style="1" customWidth="1"/>
    <col min="8" max="8" width="7.57421875" style="1" customWidth="1"/>
    <col min="9" max="9" width="9.00390625" style="1" customWidth="1"/>
    <col min="10" max="10" width="6.7109375" style="1" customWidth="1"/>
    <col min="11" max="11" width="9.140625" style="1" customWidth="1"/>
    <col min="12" max="12" width="9.421875" style="1" customWidth="1"/>
    <col min="13" max="13" width="12.57421875" style="1" customWidth="1"/>
    <col min="14" max="14" width="9.28125" style="1" customWidth="1"/>
    <col min="15" max="15" width="10.140625" style="1" customWidth="1"/>
    <col min="16" max="17" width="12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139</v>
      </c>
      <c r="C2" s="179"/>
      <c r="D2" s="179"/>
      <c r="E2" s="169"/>
      <c r="F2" s="169"/>
      <c r="L2" s="173" t="s">
        <v>24</v>
      </c>
      <c r="M2" s="174"/>
      <c r="N2" s="158">
        <v>40360</v>
      </c>
      <c r="O2" s="56"/>
    </row>
    <row r="3" spans="2:4" ht="16.5">
      <c r="B3" s="177"/>
      <c r="C3" s="178"/>
      <c r="D3" s="178"/>
    </row>
    <row r="4" ht="17.25" thickBot="1"/>
    <row r="5" spans="1:17" ht="17.25">
      <c r="A5" s="25"/>
      <c r="B5" s="171" t="s">
        <v>1</v>
      </c>
      <c r="C5" s="172"/>
      <c r="D5" s="171" t="s">
        <v>2</v>
      </c>
      <c r="E5" s="172"/>
      <c r="F5" s="171" t="s">
        <v>3</v>
      </c>
      <c r="G5" s="172"/>
      <c r="H5" s="171" t="s">
        <v>4</v>
      </c>
      <c r="I5" s="172"/>
      <c r="J5" s="171" t="s">
        <v>82</v>
      </c>
      <c r="K5" s="172"/>
      <c r="L5" s="171" t="s">
        <v>37</v>
      </c>
      <c r="M5" s="172"/>
      <c r="N5" s="171" t="s">
        <v>34</v>
      </c>
      <c r="O5" s="172"/>
      <c r="P5" s="26" t="s">
        <v>5</v>
      </c>
      <c r="Q5" s="26" t="s">
        <v>39</v>
      </c>
    </row>
    <row r="6" spans="1:17" ht="17.25">
      <c r="A6" s="27"/>
      <c r="B6" s="28" t="s">
        <v>32</v>
      </c>
      <c r="C6" s="28" t="s">
        <v>38</v>
      </c>
      <c r="D6" s="28" t="s">
        <v>32</v>
      </c>
      <c r="E6" s="28" t="s">
        <v>38</v>
      </c>
      <c r="F6" s="28" t="s">
        <v>32</v>
      </c>
      <c r="G6" s="28" t="s">
        <v>38</v>
      </c>
      <c r="H6" s="28" t="s">
        <v>32</v>
      </c>
      <c r="I6" s="28" t="s">
        <v>38</v>
      </c>
      <c r="J6" s="28" t="s">
        <v>32</v>
      </c>
      <c r="K6" s="28" t="s">
        <v>38</v>
      </c>
      <c r="L6" s="28" t="s">
        <v>32</v>
      </c>
      <c r="M6" s="28" t="s">
        <v>38</v>
      </c>
      <c r="N6" s="28" t="s">
        <v>32</v>
      </c>
      <c r="O6" s="28" t="s">
        <v>38</v>
      </c>
      <c r="P6" s="126" t="s">
        <v>26</v>
      </c>
      <c r="Q6" s="30" t="s">
        <v>40</v>
      </c>
    </row>
    <row r="7" spans="1:18" ht="17.25">
      <c r="A7" s="31" t="s">
        <v>15</v>
      </c>
      <c r="B7" s="32">
        <v>443338</v>
      </c>
      <c r="C7" s="33">
        <f>1025.85+128873.42+1191.33+27762.4+863.23+153090.45</f>
        <v>312806.68000000005</v>
      </c>
      <c r="D7" s="32">
        <f>20000-10000</f>
        <v>10000</v>
      </c>
      <c r="E7" s="33">
        <f>1850.81+11675.13</f>
        <v>13525.939999999999</v>
      </c>
      <c r="F7" s="32">
        <v>177330</v>
      </c>
      <c r="G7" s="33">
        <f>27203.41+141631.38</f>
        <v>168834.79</v>
      </c>
      <c r="H7" s="32">
        <v>150000</v>
      </c>
      <c r="I7" s="37">
        <f>550+550</f>
        <v>1100</v>
      </c>
      <c r="J7" s="32">
        <v>0</v>
      </c>
      <c r="K7" s="33">
        <v>867.71</v>
      </c>
      <c r="L7" s="32">
        <v>0</v>
      </c>
      <c r="M7" s="33">
        <f>42416.45+123528.35</f>
        <v>165944.8</v>
      </c>
      <c r="N7" s="32">
        <v>238016</v>
      </c>
      <c r="O7" s="33">
        <v>73977.68</v>
      </c>
      <c r="P7" s="34">
        <f>+O7+M7+K7+G7+E7+C7+I7</f>
        <v>737057.6000000001</v>
      </c>
      <c r="Q7" s="34">
        <f>+B7+D7+F7+J7+L7+N7-P7+H7</f>
        <v>281626.3999999999</v>
      </c>
      <c r="R7" s="5"/>
    </row>
    <row r="8" spans="1:18" ht="17.25">
      <c r="A8" s="31" t="s">
        <v>14</v>
      </c>
      <c r="B8" s="32">
        <v>1060153</v>
      </c>
      <c r="C8" s="33">
        <f>2226.4+134446.73+4455.73+219019.68+3616.51+196125.3+242.65+23736.84</f>
        <v>583869.8400000001</v>
      </c>
      <c r="D8" s="32">
        <v>18000</v>
      </c>
      <c r="E8" s="33">
        <f>1688.2+1016</f>
        <v>2704.2</v>
      </c>
      <c r="F8" s="79">
        <v>96885</v>
      </c>
      <c r="G8" s="80">
        <f>296+107828.49</f>
        <v>108124.49</v>
      </c>
      <c r="H8" s="81">
        <v>0</v>
      </c>
      <c r="I8" s="82">
        <v>0</v>
      </c>
      <c r="J8" s="79">
        <v>0</v>
      </c>
      <c r="K8" s="80">
        <f>868+12840</f>
        <v>13708</v>
      </c>
      <c r="L8" s="83">
        <v>0</v>
      </c>
      <c r="M8" s="80">
        <v>2139.5</v>
      </c>
      <c r="N8" s="83">
        <v>0</v>
      </c>
      <c r="O8" s="80">
        <v>29103.65</v>
      </c>
      <c r="P8" s="34">
        <f>+O8+M8+K8+G8+E8+C8</f>
        <v>739649.6800000002</v>
      </c>
      <c r="Q8" s="34">
        <f>+B8+D8+F8+J8+L8+N8-P8+H8</f>
        <v>435388.31999999983</v>
      </c>
      <c r="R8" s="5"/>
    </row>
    <row r="9" spans="1:18" ht="17.25">
      <c r="A9" s="31" t="s">
        <v>13</v>
      </c>
      <c r="B9" s="32">
        <v>549411</v>
      </c>
      <c r="C9" s="33">
        <f>3093.41+139113.55+1263.73+73184.8+101.94+40025.63</f>
        <v>256783.06</v>
      </c>
      <c r="D9" s="32">
        <f>57000-5000</f>
        <v>52000</v>
      </c>
      <c r="E9" s="33">
        <f>1744.21+37198.82</f>
        <v>38943.03</v>
      </c>
      <c r="F9" s="32">
        <v>232000</v>
      </c>
      <c r="G9" s="33">
        <f>1950.53+25517.53+44.19</f>
        <v>27512.249999999996</v>
      </c>
      <c r="H9" s="32">
        <v>8000</v>
      </c>
      <c r="I9" s="37">
        <v>4000</v>
      </c>
      <c r="J9" s="32">
        <v>0</v>
      </c>
      <c r="K9" s="33">
        <f>978.82+6096.78</f>
        <v>7075.599999999999</v>
      </c>
      <c r="L9" s="32">
        <f>2540000-250000</f>
        <v>2290000</v>
      </c>
      <c r="M9" s="33">
        <f>155136.54+767339.05+22094.38+188786.6</f>
        <v>1133356.57</v>
      </c>
      <c r="N9" s="32">
        <v>0</v>
      </c>
      <c r="O9" s="33">
        <v>62983.04</v>
      </c>
      <c r="P9" s="34">
        <f>+O9+M9+K9+G9+E9+C9+I9</f>
        <v>1530653.5500000003</v>
      </c>
      <c r="Q9" s="34">
        <f>+B9+D9+F9+J9+L9+N9-P9+H9</f>
        <v>1600757.4499999997</v>
      </c>
      <c r="R9" s="5"/>
    </row>
    <row r="10" spans="1:18" ht="17.25">
      <c r="A10" s="31" t="s">
        <v>81</v>
      </c>
      <c r="B10" s="32">
        <v>968740</v>
      </c>
      <c r="C10" s="33">
        <f>3739.01+232126.14+1212.26+42675.7+2942.97+150364.53+3278.1+71687.86</f>
        <v>508026.56999999995</v>
      </c>
      <c r="D10" s="32">
        <v>93000</v>
      </c>
      <c r="E10" s="33">
        <f>4609.45+68445.76</f>
        <v>73055.20999999999</v>
      </c>
      <c r="F10" s="32">
        <f>1175000+50000</f>
        <v>1225000</v>
      </c>
      <c r="G10" s="33">
        <f>891.38+385755.84+29.04</f>
        <v>386676.26</v>
      </c>
      <c r="H10" s="32">
        <v>0</v>
      </c>
      <c r="I10" s="37">
        <v>0</v>
      </c>
      <c r="J10" s="32">
        <v>0</v>
      </c>
      <c r="K10" s="33">
        <f>2694+368.69</f>
        <v>3062.69</v>
      </c>
      <c r="L10" s="32">
        <f>3670000+250000</f>
        <v>3920000</v>
      </c>
      <c r="M10" s="33">
        <f>78845.09+1338446.12+77.12+2529.27</f>
        <v>1419897.6000000003</v>
      </c>
      <c r="N10" s="32">
        <v>0</v>
      </c>
      <c r="O10" s="33">
        <v>51756.68</v>
      </c>
      <c r="P10" s="34">
        <f>+O10+M10+K10+I10+G10+E10+C10</f>
        <v>2442475.0100000002</v>
      </c>
      <c r="Q10" s="34">
        <f>+N10+L10+J10+H10+F10+D10+B10-P10</f>
        <v>3764264.9899999998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4"/>
    </row>
    <row r="12" spans="1:17" ht="18" thickBot="1">
      <c r="A12" s="38" t="s">
        <v>11</v>
      </c>
      <c r="B12" s="39">
        <f aca="true" t="shared" si="0" ref="B12:Q12">SUM(B7:B11)</f>
        <v>3021642</v>
      </c>
      <c r="C12" s="40">
        <f t="shared" si="0"/>
        <v>1661486.15</v>
      </c>
      <c r="D12" s="39">
        <f t="shared" si="0"/>
        <v>173000</v>
      </c>
      <c r="E12" s="40">
        <f t="shared" si="0"/>
        <v>128228.37999999999</v>
      </c>
      <c r="F12" s="39">
        <f t="shared" si="0"/>
        <v>1731215</v>
      </c>
      <c r="G12" s="40">
        <f t="shared" si="0"/>
        <v>691147.79</v>
      </c>
      <c r="H12" s="39">
        <f t="shared" si="0"/>
        <v>158000</v>
      </c>
      <c r="I12" s="41">
        <f t="shared" si="0"/>
        <v>5100</v>
      </c>
      <c r="J12" s="39">
        <f t="shared" si="0"/>
        <v>0</v>
      </c>
      <c r="K12" s="40">
        <f t="shared" si="0"/>
        <v>24713.999999999996</v>
      </c>
      <c r="L12" s="39">
        <f t="shared" si="0"/>
        <v>6210000</v>
      </c>
      <c r="M12" s="40">
        <f t="shared" si="0"/>
        <v>2721338.4700000007</v>
      </c>
      <c r="N12" s="39">
        <f t="shared" si="0"/>
        <v>238016</v>
      </c>
      <c r="O12" s="40">
        <f t="shared" si="0"/>
        <v>217821.05</v>
      </c>
      <c r="P12" s="42">
        <f t="shared" si="0"/>
        <v>5449835.840000001</v>
      </c>
      <c r="Q12" s="42">
        <f t="shared" si="0"/>
        <v>6082037.159999999</v>
      </c>
    </row>
    <row r="13" spans="1:17" ht="17.25" thickBot="1">
      <c r="A13" s="43" t="s">
        <v>31</v>
      </c>
      <c r="B13" s="44"/>
      <c r="C13" s="143">
        <f>+C12/B12</f>
        <v>0.5498620121112957</v>
      </c>
      <c r="D13" s="45"/>
      <c r="E13" s="143">
        <f>+E12/D12</f>
        <v>0.7412045086705201</v>
      </c>
      <c r="F13" s="45"/>
      <c r="G13" s="143">
        <f>+G12/F12</f>
        <v>0.3992270110875888</v>
      </c>
      <c r="H13" s="45"/>
      <c r="I13" s="143">
        <f>+I12/H12</f>
        <v>0.032278481012658226</v>
      </c>
      <c r="J13" s="45"/>
      <c r="K13" s="143"/>
      <c r="L13" s="45"/>
      <c r="M13" s="143">
        <f>+M12/L12</f>
        <v>0.43821875523349446</v>
      </c>
      <c r="N13" s="47"/>
      <c r="O13" s="145">
        <f>+O12/N12</f>
        <v>0.9151529729093842</v>
      </c>
      <c r="P13" s="58"/>
      <c r="Q13" s="5"/>
    </row>
    <row r="14" spans="16:17" ht="16.5"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6" ht="17.25">
      <c r="C39" s="65"/>
      <c r="D39" s="5"/>
      <c r="E39" s="53"/>
      <c r="F39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ht="17.25">
      <c r="C45" s="64"/>
    </row>
    <row r="48" spans="4:5" ht="16.5">
      <c r="D48" s="62"/>
      <c r="E48" s="62"/>
    </row>
    <row r="49" spans="1:5" ht="16.5">
      <c r="A49" s="62" t="s">
        <v>27</v>
      </c>
      <c r="B49" s="62" t="s">
        <v>28</v>
      </c>
      <c r="C49" s="62" t="s">
        <v>29</v>
      </c>
      <c r="D49" s="62"/>
      <c r="E49" s="62"/>
    </row>
    <row r="50" spans="1:3" ht="17.25">
      <c r="A50" s="64">
        <f>+B12</f>
        <v>3021642</v>
      </c>
      <c r="B50" s="65">
        <f>+C12</f>
        <v>1661486.15</v>
      </c>
      <c r="C50" s="62" t="s">
        <v>1</v>
      </c>
    </row>
    <row r="51" spans="1:3" ht="17.25">
      <c r="A51" s="64">
        <f>+D12</f>
        <v>173000</v>
      </c>
      <c r="B51" s="65">
        <f>+E12</f>
        <v>128228.37999999999</v>
      </c>
      <c r="C51" s="62" t="s">
        <v>2</v>
      </c>
    </row>
    <row r="52" spans="1:3" ht="17.25">
      <c r="A52" s="64">
        <f>+F12</f>
        <v>1731215</v>
      </c>
      <c r="B52" s="65">
        <f>+G12</f>
        <v>691147.79</v>
      </c>
      <c r="C52" s="62" t="s">
        <v>3</v>
      </c>
    </row>
    <row r="53" spans="1:3" ht="17.25">
      <c r="A53" s="66">
        <f>+H12</f>
        <v>158000</v>
      </c>
      <c r="B53" s="65">
        <f>+I12</f>
        <v>5100</v>
      </c>
      <c r="C53" s="62" t="s">
        <v>35</v>
      </c>
    </row>
    <row r="54" spans="1:3" ht="17.25">
      <c r="A54" s="64">
        <f>+J12</f>
        <v>0</v>
      </c>
      <c r="B54" s="65">
        <f>+K12</f>
        <v>24713.999999999996</v>
      </c>
      <c r="C54" s="62" t="s">
        <v>33</v>
      </c>
    </row>
    <row r="55" spans="1:3" ht="17.25">
      <c r="A55" s="64">
        <f>+L12</f>
        <v>6210000</v>
      </c>
      <c r="B55" s="65">
        <f>+M12</f>
        <v>2721338.4700000007</v>
      </c>
      <c r="C55" s="62" t="s">
        <v>30</v>
      </c>
    </row>
    <row r="56" spans="1:3" ht="17.25">
      <c r="A56" s="64">
        <f>+N12</f>
        <v>238016</v>
      </c>
      <c r="B56" s="65">
        <f>+O12</f>
        <v>217821.05</v>
      </c>
      <c r="C56" s="62" t="s">
        <v>36</v>
      </c>
    </row>
    <row r="57" spans="1:2" ht="17.25">
      <c r="A57" s="64">
        <v>2832908</v>
      </c>
      <c r="B57" s="65">
        <v>692231.2</v>
      </c>
    </row>
    <row r="58" spans="1:2" ht="17.25">
      <c r="A58" s="64"/>
      <c r="B58" s="64"/>
    </row>
    <row r="59" spans="1:2" ht="17.25">
      <c r="A59" s="64"/>
      <c r="B59" s="64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8" right="0.68" top="0.81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C1">
      <selection activeCell="F13" sqref="F13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10.8515625" style="1" customWidth="1"/>
    <col min="6" max="6" width="9.421875" style="1" customWidth="1"/>
    <col min="7" max="7" width="12.42187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7.8515625" style="1" customWidth="1"/>
    <col min="15" max="15" width="10.28125" style="1" customWidth="1"/>
    <col min="16" max="16" width="12.2812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51" t="s">
        <v>0</v>
      </c>
      <c r="B2" s="164" t="s">
        <v>112</v>
      </c>
      <c r="C2" s="179"/>
      <c r="D2" s="179"/>
      <c r="E2" s="179"/>
      <c r="F2" s="175"/>
      <c r="G2" s="175"/>
      <c r="H2" s="175"/>
      <c r="J2" s="21"/>
      <c r="K2" s="173" t="s">
        <v>24</v>
      </c>
      <c r="L2" s="174"/>
      <c r="M2" s="158">
        <v>40360</v>
      </c>
      <c r="O2" s="56"/>
    </row>
    <row r="3" spans="2:16" ht="16.5">
      <c r="B3" s="177"/>
      <c r="C3" s="178"/>
      <c r="D3" s="178"/>
      <c r="E3" s="178"/>
      <c r="F3" s="67"/>
      <c r="P3" s="85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71" t="s">
        <v>37</v>
      </c>
      <c r="M6" s="172"/>
      <c r="N6" s="171" t="s">
        <v>34</v>
      </c>
      <c r="O6" s="172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8" ht="17.25">
      <c r="A8" s="86" t="s">
        <v>15</v>
      </c>
      <c r="B8" s="32">
        <v>454526</v>
      </c>
      <c r="C8" s="33">
        <f>3098.23+327264.37+2147.63+31728.53+13+7039.69+212+53822.75</f>
        <v>425326.2</v>
      </c>
      <c r="D8" s="32">
        <v>26000</v>
      </c>
      <c r="E8" s="33">
        <v>5784.15</v>
      </c>
      <c r="F8" s="32">
        <v>802000</v>
      </c>
      <c r="G8" s="33">
        <f>26038.96+516457.08</f>
        <v>542496.04</v>
      </c>
      <c r="H8" s="32">
        <v>10000</v>
      </c>
      <c r="I8" s="33">
        <v>0</v>
      </c>
      <c r="J8" s="32">
        <f>10000+60000</f>
        <v>70000</v>
      </c>
      <c r="K8" s="33">
        <v>1032.3</v>
      </c>
      <c r="L8" s="32">
        <v>0</v>
      </c>
      <c r="M8" s="37">
        <v>0</v>
      </c>
      <c r="N8" s="32">
        <v>250000</v>
      </c>
      <c r="O8" s="33">
        <v>50838.78</v>
      </c>
      <c r="P8" s="34">
        <f>+O8+K8+G8+E8+C8+I8+M8</f>
        <v>1025477.47</v>
      </c>
      <c r="Q8" s="34">
        <f>+B8+D8+F8+H8+J8+N8-P8</f>
        <v>587048.53</v>
      </c>
      <c r="R8" s="5"/>
    </row>
    <row r="9" spans="1:18" ht="17.25">
      <c r="A9" s="86" t="s">
        <v>90</v>
      </c>
      <c r="B9" s="32">
        <v>1657400</v>
      </c>
      <c r="C9" s="33">
        <f>18+78059.26+12209.14+412818.66+6648.75+274721.79+3407.07+220516.37</f>
        <v>1008399.0399999998</v>
      </c>
      <c r="D9" s="32">
        <f>64720-5000</f>
        <v>59720</v>
      </c>
      <c r="E9" s="33">
        <f>7982.48+21938.39+262.9</f>
        <v>30183.77</v>
      </c>
      <c r="F9" s="32">
        <v>167300</v>
      </c>
      <c r="G9" s="33">
        <f>1624.4+61363.5+396.9+1190.35+2513.93+950</f>
        <v>68039.08</v>
      </c>
      <c r="H9" s="32">
        <v>0</v>
      </c>
      <c r="I9" s="33">
        <v>0</v>
      </c>
      <c r="J9" s="32">
        <v>0</v>
      </c>
      <c r="K9" s="33">
        <f>12921.16+122.39</f>
        <v>13043.55</v>
      </c>
      <c r="L9" s="32">
        <v>0</v>
      </c>
      <c r="M9" s="37">
        <v>0</v>
      </c>
      <c r="N9" s="32">
        <v>0</v>
      </c>
      <c r="O9" s="33">
        <v>47136.96</v>
      </c>
      <c r="P9" s="34">
        <f>+O9+K9+G9+E9+C9</f>
        <v>1166802.4</v>
      </c>
      <c r="Q9" s="34">
        <f>+B9+D9+F9+H9+J9+N9-P9</f>
        <v>717617.6000000001</v>
      </c>
      <c r="R9" s="5"/>
    </row>
    <row r="10" spans="1:18" ht="17.25">
      <c r="A10" s="86" t="s">
        <v>89</v>
      </c>
      <c r="B10" s="32">
        <v>1866785</v>
      </c>
      <c r="C10" s="33">
        <f>8140.49+377566.83+3+26426.05+51993.52+831669.55</f>
        <v>1295799.44</v>
      </c>
      <c r="D10" s="32">
        <v>43500</v>
      </c>
      <c r="E10" s="33">
        <f>2233.8+25530.76</f>
        <v>27764.559999999998</v>
      </c>
      <c r="F10" s="32">
        <v>345500</v>
      </c>
      <c r="G10" s="33">
        <f>66862.77+649814.64+42.74+35457.48</f>
        <v>752177.63</v>
      </c>
      <c r="H10" s="32">
        <v>0</v>
      </c>
      <c r="I10" s="33">
        <v>1336.91</v>
      </c>
      <c r="J10" s="32">
        <v>12500</v>
      </c>
      <c r="K10" s="33">
        <f>6778.28+122.39</f>
        <v>6900.67</v>
      </c>
      <c r="L10" s="32">
        <v>0</v>
      </c>
      <c r="M10" s="37">
        <v>0</v>
      </c>
      <c r="N10" s="32">
        <v>0</v>
      </c>
      <c r="O10" s="33">
        <v>67342.7</v>
      </c>
      <c r="P10" s="34">
        <f>+O10+K10+G10+E10+C10+M10+I10</f>
        <v>2151321.91</v>
      </c>
      <c r="Q10" s="34">
        <f>+B10+D10+F10+H10+J10+N10-P10</f>
        <v>116963.08999999985</v>
      </c>
      <c r="R10" s="5"/>
    </row>
    <row r="11" spans="1:18" ht="17.25">
      <c r="A11" s="86" t="s">
        <v>91</v>
      </c>
      <c r="B11" s="32">
        <v>2568227</v>
      </c>
      <c r="C11" s="33">
        <f>6019.19+45246+92988.09+972511.95+6490.21+108825.15</f>
        <v>1232080.5899999999</v>
      </c>
      <c r="D11" s="32">
        <v>85500</v>
      </c>
      <c r="E11" s="33">
        <f>25868.28+31505.87+1430+80</f>
        <v>58884.149999999994</v>
      </c>
      <c r="F11" s="32">
        <v>148000</v>
      </c>
      <c r="G11" s="33">
        <f>13640.05+139951.55+198.54+14853.45</f>
        <v>168643.59</v>
      </c>
      <c r="H11" s="32">
        <v>0</v>
      </c>
      <c r="I11" s="33">
        <v>434.35</v>
      </c>
      <c r="J11" s="32">
        <v>22500</v>
      </c>
      <c r="K11" s="33">
        <f>110+137.78</f>
        <v>247.78</v>
      </c>
      <c r="L11" s="32">
        <v>0</v>
      </c>
      <c r="M11" s="37">
        <v>0</v>
      </c>
      <c r="N11" s="32">
        <v>0</v>
      </c>
      <c r="O11" s="33">
        <v>83259.3</v>
      </c>
      <c r="P11" s="34">
        <f>+O11+K11+G11+E11+C11+I11</f>
        <v>1543549.7599999998</v>
      </c>
      <c r="Q11" s="34">
        <f>+B11+D11+F11+H11+J11+N11+L11-P11</f>
        <v>1280677.2400000002</v>
      </c>
      <c r="R11" s="5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6546938</v>
      </c>
      <c r="C13" s="40">
        <f t="shared" si="0"/>
        <v>3961605.2699999996</v>
      </c>
      <c r="D13" s="39">
        <f t="shared" si="0"/>
        <v>214720</v>
      </c>
      <c r="E13" s="40">
        <f t="shared" si="0"/>
        <v>122616.62999999999</v>
      </c>
      <c r="F13" s="39">
        <f t="shared" si="0"/>
        <v>1462800</v>
      </c>
      <c r="G13" s="40">
        <f t="shared" si="0"/>
        <v>1531356.34</v>
      </c>
      <c r="H13" s="39">
        <f t="shared" si="0"/>
        <v>10000</v>
      </c>
      <c r="I13" s="40">
        <f t="shared" si="0"/>
        <v>1771.2600000000002</v>
      </c>
      <c r="J13" s="39">
        <f t="shared" si="0"/>
        <v>105000</v>
      </c>
      <c r="K13" s="40">
        <f t="shared" si="0"/>
        <v>21224.299999999996</v>
      </c>
      <c r="L13" s="39">
        <f>SUM(L8:L12)</f>
        <v>0</v>
      </c>
      <c r="M13" s="40">
        <f>SUM(M8:M12)</f>
        <v>0</v>
      </c>
      <c r="N13" s="39">
        <f t="shared" si="0"/>
        <v>250000</v>
      </c>
      <c r="O13" s="40">
        <f t="shared" si="0"/>
        <v>248577.74</v>
      </c>
      <c r="P13" s="87">
        <f t="shared" si="0"/>
        <v>5887151.54</v>
      </c>
      <c r="Q13" s="161">
        <f t="shared" si="0"/>
        <v>2702306.46</v>
      </c>
    </row>
    <row r="14" spans="1:17" ht="17.25" thickBot="1">
      <c r="A14" s="38" t="s">
        <v>31</v>
      </c>
      <c r="B14" s="88"/>
      <c r="C14" s="93">
        <f>+C13/B13</f>
        <v>0.6051081085539529</v>
      </c>
      <c r="D14" s="89"/>
      <c r="E14" s="93">
        <f>+E13/D13</f>
        <v>0.5710536046944859</v>
      </c>
      <c r="F14" s="89"/>
      <c r="G14" s="93">
        <f>+G13/F13</f>
        <v>1.046866516270167</v>
      </c>
      <c r="H14" s="89"/>
      <c r="I14" s="93">
        <f>+I13/H13</f>
        <v>0.17712600000000003</v>
      </c>
      <c r="J14" s="89"/>
      <c r="K14" s="93">
        <f>+K13/J13</f>
        <v>0.20213619047619044</v>
      </c>
      <c r="L14" s="90"/>
      <c r="M14" s="47"/>
      <c r="N14" s="45"/>
      <c r="O14" s="145">
        <f>+O13/N13</f>
        <v>0.99431096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78"/>
    </row>
    <row r="16" ht="16.5">
      <c r="P16" s="52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27</v>
      </c>
      <c r="B45" s="71" t="s">
        <v>28</v>
      </c>
      <c r="C45" s="91" t="s">
        <v>29</v>
      </c>
      <c r="D45" s="5"/>
      <c r="F45" s="53"/>
    </row>
    <row r="46" spans="1:6" ht="17.25">
      <c r="A46" s="64">
        <f>+B13</f>
        <v>6546938</v>
      </c>
      <c r="B46" s="65">
        <f>+C13</f>
        <v>3961605.2699999996</v>
      </c>
      <c r="C46" s="91" t="s">
        <v>1</v>
      </c>
      <c r="D46" s="5"/>
      <c r="F46" s="53"/>
    </row>
    <row r="47" spans="1:6" ht="17.25">
      <c r="A47" s="64">
        <f>+D13</f>
        <v>214720</v>
      </c>
      <c r="B47" s="65">
        <f>+E13</f>
        <v>122616.62999999999</v>
      </c>
      <c r="C47" s="91" t="s">
        <v>2</v>
      </c>
      <c r="D47" s="5"/>
      <c r="F47" s="53"/>
    </row>
    <row r="48" spans="1:6" ht="17.25">
      <c r="A48" s="64">
        <f>+F13</f>
        <v>1462800</v>
      </c>
      <c r="B48" s="65">
        <f>+G13</f>
        <v>1531356.34</v>
      </c>
      <c r="C48" s="91" t="s">
        <v>3</v>
      </c>
      <c r="D48" s="5"/>
      <c r="F48" s="53"/>
    </row>
    <row r="49" spans="1:6" ht="17.25">
      <c r="A49" s="66">
        <f>+H13</f>
        <v>10000</v>
      </c>
      <c r="B49" s="65">
        <f>+I13</f>
        <v>1771.2600000000002</v>
      </c>
      <c r="C49" s="92" t="s">
        <v>35</v>
      </c>
      <c r="D49" s="5"/>
      <c r="F49" s="53"/>
    </row>
    <row r="50" spans="1:3" ht="17.25">
      <c r="A50" s="64">
        <f>+J13</f>
        <v>105000</v>
      </c>
      <c r="B50" s="65">
        <f>+K13</f>
        <v>21224.299999999996</v>
      </c>
      <c r="C50" s="62" t="s">
        <v>33</v>
      </c>
    </row>
    <row r="51" spans="1:3" ht="17.25">
      <c r="A51" s="66">
        <f>+L13</f>
        <v>0</v>
      </c>
      <c r="B51" s="65">
        <f>+M13</f>
        <v>0</v>
      </c>
      <c r="C51" s="62" t="s">
        <v>102</v>
      </c>
    </row>
    <row r="52" spans="1:3" ht="17.25">
      <c r="A52" s="64">
        <f>+N13</f>
        <v>250000</v>
      </c>
      <c r="B52" s="65">
        <f>+O13</f>
        <v>248577.74</v>
      </c>
      <c r="C52" s="62" t="s">
        <v>36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mergeCells count="10">
    <mergeCell ref="K2:L2"/>
    <mergeCell ref="B3:E3"/>
    <mergeCell ref="N6:O6"/>
    <mergeCell ref="J6:K6"/>
    <mergeCell ref="B6:C6"/>
    <mergeCell ref="D6:E6"/>
    <mergeCell ref="F6:G6"/>
    <mergeCell ref="H6:I6"/>
    <mergeCell ref="L6:M6"/>
    <mergeCell ref="B2:H2"/>
  </mergeCells>
  <printOptions/>
  <pageMargins left="0.78" right="0.57" top="0.72" bottom="1" header="0.39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G1">
      <selection activeCell="F12" sqref="F12"/>
    </sheetView>
  </sheetViews>
  <sheetFormatPr defaultColWidth="11.421875" defaultRowHeight="15"/>
  <cols>
    <col min="1" max="1" width="21.00390625" style="1" customWidth="1"/>
    <col min="2" max="2" width="8.00390625" style="1" customWidth="1"/>
    <col min="3" max="3" width="10.57421875" style="1" customWidth="1"/>
    <col min="4" max="4" width="7.7109375" style="1" customWidth="1"/>
    <col min="5" max="5" width="8.7109375" style="1" customWidth="1"/>
    <col min="6" max="6" width="7.8515625" style="1" customWidth="1"/>
    <col min="7" max="7" width="9.57421875" style="1" customWidth="1"/>
    <col min="8" max="8" width="7.57421875" style="1" customWidth="1"/>
    <col min="9" max="9" width="10.57421875" style="1" customWidth="1"/>
    <col min="10" max="10" width="7.28125" style="1" customWidth="1"/>
    <col min="11" max="11" width="9.421875" style="1" customWidth="1"/>
    <col min="12" max="12" width="6.8515625" style="1" customWidth="1"/>
    <col min="13" max="13" width="8.7109375" style="1" customWidth="1"/>
    <col min="14" max="14" width="7.57421875" style="1" customWidth="1"/>
    <col min="15" max="15" width="10.140625" style="1" customWidth="1"/>
    <col min="16" max="16" width="10.8515625" style="1" customWidth="1"/>
    <col min="17" max="17" width="12.57421875" style="1" customWidth="1"/>
    <col min="18" max="16384" width="11.421875" style="1" customWidth="1"/>
  </cols>
  <sheetData>
    <row r="2" spans="1:15" ht="18">
      <c r="A2" s="151" t="s">
        <v>0</v>
      </c>
      <c r="B2" s="164" t="s">
        <v>113</v>
      </c>
      <c r="C2" s="164"/>
      <c r="D2" s="169"/>
      <c r="E2" s="169"/>
      <c r="I2" s="173" t="s">
        <v>24</v>
      </c>
      <c r="J2" s="173"/>
      <c r="K2" s="158">
        <v>40360</v>
      </c>
      <c r="L2" s="125"/>
      <c r="M2" s="125"/>
      <c r="O2" s="23"/>
    </row>
    <row r="3" spans="2:3" ht="16.5">
      <c r="B3" s="177"/>
      <c r="C3" s="177"/>
    </row>
    <row r="5" ht="17.25" thickBot="1"/>
    <row r="6" spans="1:17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27" t="s">
        <v>37</v>
      </c>
      <c r="M6" s="75"/>
      <c r="N6" s="171" t="s">
        <v>34</v>
      </c>
      <c r="O6" s="172"/>
      <c r="P6" s="26" t="s">
        <v>5</v>
      </c>
      <c r="Q6" s="26" t="s">
        <v>39</v>
      </c>
    </row>
    <row r="7" spans="1:17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8" t="s">
        <v>32</v>
      </c>
      <c r="O7" s="28" t="s">
        <v>38</v>
      </c>
      <c r="P7" s="29" t="s">
        <v>26</v>
      </c>
      <c r="Q7" s="30" t="s">
        <v>40</v>
      </c>
    </row>
    <row r="8" spans="1:17" ht="17.25">
      <c r="A8" s="31" t="s">
        <v>98</v>
      </c>
      <c r="B8" s="32">
        <v>687883</v>
      </c>
      <c r="C8" s="33">
        <f>40520.3+402917.66</f>
        <v>443437.95999999996</v>
      </c>
      <c r="D8" s="68">
        <v>58500</v>
      </c>
      <c r="E8" s="33">
        <f>1261.88+4310.72</f>
        <v>5572.6</v>
      </c>
      <c r="F8" s="68">
        <v>212674</v>
      </c>
      <c r="G8" s="33">
        <f>1413.48+9956.9</f>
        <v>11370.38</v>
      </c>
      <c r="H8" s="68">
        <v>99000</v>
      </c>
      <c r="I8" s="33">
        <f>14338.38+87352.78</f>
        <v>101691.16</v>
      </c>
      <c r="J8" s="68">
        <v>6000</v>
      </c>
      <c r="K8" s="33">
        <f>258+2194</f>
        <v>2452</v>
      </c>
      <c r="L8" s="68">
        <v>50000</v>
      </c>
      <c r="M8" s="33">
        <v>0</v>
      </c>
      <c r="N8" s="68">
        <v>50000</v>
      </c>
      <c r="O8" s="33">
        <v>61187.21</v>
      </c>
      <c r="P8" s="34">
        <f>+C8+G8+I8+K8+O8+E8</f>
        <v>625711.3099999999</v>
      </c>
      <c r="Q8" s="34">
        <f>+B8+D8+F8+H8+J8+N8-P8+L8</f>
        <v>538345.6900000001</v>
      </c>
    </row>
    <row r="9" spans="1:17" ht="17.25">
      <c r="A9" s="31" t="s">
        <v>114</v>
      </c>
      <c r="B9" s="32">
        <v>66915</v>
      </c>
      <c r="C9" s="33">
        <f>5211.36+32697.51</f>
        <v>37908.869999999995</v>
      </c>
      <c r="D9" s="68">
        <v>0</v>
      </c>
      <c r="E9" s="33">
        <v>0</v>
      </c>
      <c r="F9" s="68">
        <v>0</v>
      </c>
      <c r="G9" s="33">
        <v>0</v>
      </c>
      <c r="H9" s="68">
        <v>0</v>
      </c>
      <c r="I9" s="33">
        <v>0</v>
      </c>
      <c r="J9" s="68">
        <v>0</v>
      </c>
      <c r="K9" s="33">
        <v>110.29</v>
      </c>
      <c r="L9" s="68">
        <v>0</v>
      </c>
      <c r="M9" s="33">
        <v>0</v>
      </c>
      <c r="N9" s="68">
        <v>0</v>
      </c>
      <c r="O9" s="33">
        <v>875.57</v>
      </c>
      <c r="P9" s="34">
        <f>+C9+G9+I9+K9+O9+E9</f>
        <v>38894.729999999996</v>
      </c>
      <c r="Q9" s="34">
        <f>+B9+D9+F9+H9+J9+N9-P9</f>
        <v>28020.270000000004</v>
      </c>
    </row>
    <row r="10" spans="1:17" ht="17.25">
      <c r="A10" s="31" t="s">
        <v>115</v>
      </c>
      <c r="B10" s="32">
        <v>43048</v>
      </c>
      <c r="C10" s="33">
        <f>254.8+21602.78</f>
        <v>21857.579999999998</v>
      </c>
      <c r="D10" s="68">
        <v>0</v>
      </c>
      <c r="E10" s="33">
        <v>0</v>
      </c>
      <c r="F10" s="68">
        <v>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946.58</v>
      </c>
      <c r="P10" s="34">
        <f>+C10+G10+I10+K10+O10+E10</f>
        <v>22804.16</v>
      </c>
      <c r="Q10" s="34">
        <f>+B10+D10+F10+H10+J10+N10-P10</f>
        <v>20243.84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797846</v>
      </c>
      <c r="C12" s="40">
        <f t="shared" si="0"/>
        <v>503204.41</v>
      </c>
      <c r="D12" s="39">
        <f t="shared" si="0"/>
        <v>58500</v>
      </c>
      <c r="E12" s="40">
        <f t="shared" si="0"/>
        <v>5572.6</v>
      </c>
      <c r="F12" s="39">
        <f t="shared" si="0"/>
        <v>212674</v>
      </c>
      <c r="G12" s="40">
        <f t="shared" si="0"/>
        <v>11370.38</v>
      </c>
      <c r="H12" s="39">
        <f t="shared" si="0"/>
        <v>99000</v>
      </c>
      <c r="I12" s="40">
        <f t="shared" si="0"/>
        <v>101691.16</v>
      </c>
      <c r="J12" s="39">
        <f t="shared" si="0"/>
        <v>6000</v>
      </c>
      <c r="K12" s="40">
        <f t="shared" si="0"/>
        <v>2562.29</v>
      </c>
      <c r="L12" s="39">
        <f t="shared" si="0"/>
        <v>50000</v>
      </c>
      <c r="M12" s="40">
        <f t="shared" si="0"/>
        <v>0</v>
      </c>
      <c r="N12" s="39">
        <f t="shared" si="0"/>
        <v>50000</v>
      </c>
      <c r="O12" s="40">
        <f t="shared" si="0"/>
        <v>63009.36</v>
      </c>
      <c r="P12" s="42">
        <f t="shared" si="0"/>
        <v>687410.2</v>
      </c>
      <c r="Q12" s="42">
        <f t="shared" si="0"/>
        <v>586609.8</v>
      </c>
    </row>
    <row r="13" spans="1:17" ht="17.25" thickBot="1">
      <c r="A13" s="43" t="s">
        <v>31</v>
      </c>
      <c r="B13" s="88"/>
      <c r="C13" s="93">
        <f>+C12/B12</f>
        <v>0.6307036821642271</v>
      </c>
      <c r="D13" s="93"/>
      <c r="E13" s="93">
        <f>+E12/D12</f>
        <v>0.09525811965811966</v>
      </c>
      <c r="F13" s="93"/>
      <c r="G13" s="93">
        <f>+G12/F12</f>
        <v>0.05346389309459548</v>
      </c>
      <c r="H13" s="93"/>
      <c r="I13" s="93">
        <f>+I12/H12</f>
        <v>1.0271834343434343</v>
      </c>
      <c r="J13" s="89"/>
      <c r="K13" s="89">
        <f>+K12/J12</f>
        <v>0.4270483333333333</v>
      </c>
      <c r="L13" s="90"/>
      <c r="M13" s="47">
        <f>+M12/L12</f>
        <v>0</v>
      </c>
      <c r="N13" s="45"/>
      <c r="O13" s="145"/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4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27</v>
      </c>
      <c r="B45" s="71" t="s">
        <v>28</v>
      </c>
      <c r="C45" s="91" t="s">
        <v>29</v>
      </c>
      <c r="D45" s="5"/>
      <c r="H45" s="53"/>
    </row>
    <row r="46" spans="1:8" ht="17.25">
      <c r="A46" s="64">
        <f>+B12</f>
        <v>797846</v>
      </c>
      <c r="B46" s="65">
        <f>+C12</f>
        <v>503204.41</v>
      </c>
      <c r="C46" s="91" t="s">
        <v>1</v>
      </c>
      <c r="D46" s="5"/>
      <c r="H46" s="53"/>
    </row>
    <row r="47" spans="1:8" ht="17.25">
      <c r="A47" s="64">
        <f>+D12</f>
        <v>58500</v>
      </c>
      <c r="B47" s="65">
        <f>+E12</f>
        <v>5572.6</v>
      </c>
      <c r="C47" s="91" t="s">
        <v>2</v>
      </c>
      <c r="D47" s="5"/>
      <c r="H47" s="53"/>
    </row>
    <row r="48" spans="1:8" ht="17.25">
      <c r="A48" s="64">
        <f>+F12</f>
        <v>212674</v>
      </c>
      <c r="B48" s="65">
        <f>+G12</f>
        <v>11370.38</v>
      </c>
      <c r="C48" s="91" t="s">
        <v>3</v>
      </c>
      <c r="D48" s="5"/>
      <c r="H48" s="53"/>
    </row>
    <row r="49" spans="1:3" ht="17.25">
      <c r="A49" s="64">
        <f>+H12</f>
        <v>99000</v>
      </c>
      <c r="B49" s="65">
        <f>+I12</f>
        <v>101691.16</v>
      </c>
      <c r="C49" s="62" t="s">
        <v>35</v>
      </c>
    </row>
    <row r="50" spans="1:3" ht="17.25">
      <c r="A50" s="64">
        <f>+J12</f>
        <v>6000</v>
      </c>
      <c r="B50" s="65">
        <f>+K12</f>
        <v>2562.29</v>
      </c>
      <c r="C50" s="62" t="s">
        <v>33</v>
      </c>
    </row>
    <row r="51" spans="1:3" ht="17.25">
      <c r="A51" s="66">
        <f>+L12</f>
        <v>50000</v>
      </c>
      <c r="B51" s="65">
        <f>+M12</f>
        <v>0</v>
      </c>
      <c r="C51" s="62" t="s">
        <v>97</v>
      </c>
    </row>
    <row r="52" spans="1:3" ht="17.25">
      <c r="A52" s="64">
        <f>+N12</f>
        <v>50000</v>
      </c>
      <c r="B52" s="65">
        <f>+O12</f>
        <v>63009.36</v>
      </c>
      <c r="C52" s="62" t="s">
        <v>36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mergeCells count="9">
    <mergeCell ref="B2:E2"/>
    <mergeCell ref="I2:J2"/>
    <mergeCell ref="B3:C3"/>
    <mergeCell ref="J6:K6"/>
    <mergeCell ref="N6:O6"/>
    <mergeCell ref="B6:C6"/>
    <mergeCell ref="D6:E6"/>
    <mergeCell ref="F6:G6"/>
    <mergeCell ref="H6:I6"/>
  </mergeCells>
  <printOptions/>
  <pageMargins left="0.91" right="0.63" top="0.75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D1">
      <selection activeCell="O4" sqref="O4"/>
    </sheetView>
  </sheetViews>
  <sheetFormatPr defaultColWidth="11.421875" defaultRowHeight="15"/>
  <cols>
    <col min="1" max="1" width="10.00390625" style="1" customWidth="1"/>
    <col min="2" max="2" width="8.7109375" style="1" customWidth="1"/>
    <col min="3" max="3" width="10.2812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8515625" style="1" customWidth="1"/>
    <col min="13" max="13" width="9.8515625" style="1" customWidth="1"/>
    <col min="14" max="14" width="10.140625" style="1" customWidth="1"/>
    <col min="15" max="15" width="10.7109375" style="1" customWidth="1"/>
    <col min="16" max="16384" width="11.421875" style="1" customWidth="1"/>
  </cols>
  <sheetData>
    <row r="2" spans="1:12" ht="18">
      <c r="A2" s="151" t="s">
        <v>0</v>
      </c>
      <c r="B2" s="164" t="s">
        <v>116</v>
      </c>
      <c r="C2" s="179"/>
      <c r="D2" s="169"/>
      <c r="E2" s="169"/>
      <c r="I2" s="173" t="s">
        <v>24</v>
      </c>
      <c r="J2" s="173"/>
      <c r="K2" s="158">
        <v>40360</v>
      </c>
      <c r="L2" s="20"/>
    </row>
    <row r="3" spans="2:4" ht="16.5">
      <c r="B3" s="177"/>
      <c r="C3" s="178"/>
      <c r="D3" s="96"/>
    </row>
    <row r="5" ht="17.25" thickBot="1"/>
    <row r="6" spans="1:15" ht="17.25">
      <c r="A6" s="25"/>
      <c r="B6" s="171" t="s">
        <v>1</v>
      </c>
      <c r="C6" s="172"/>
      <c r="D6" s="171" t="s">
        <v>2</v>
      </c>
      <c r="E6" s="172"/>
      <c r="F6" s="171" t="s">
        <v>3</v>
      </c>
      <c r="G6" s="172"/>
      <c r="H6" s="171" t="s">
        <v>4</v>
      </c>
      <c r="I6" s="172"/>
      <c r="J6" s="171" t="s">
        <v>33</v>
      </c>
      <c r="K6" s="172"/>
      <c r="L6" s="171" t="s">
        <v>34</v>
      </c>
      <c r="M6" s="172"/>
      <c r="N6" s="26" t="s">
        <v>5</v>
      </c>
      <c r="O6" s="26" t="s">
        <v>39</v>
      </c>
    </row>
    <row r="7" spans="1:15" ht="17.25">
      <c r="A7" s="27"/>
      <c r="B7" s="28" t="s">
        <v>32</v>
      </c>
      <c r="C7" s="28" t="s">
        <v>38</v>
      </c>
      <c r="D7" s="28" t="s">
        <v>32</v>
      </c>
      <c r="E7" s="28" t="s">
        <v>38</v>
      </c>
      <c r="F7" s="28" t="s">
        <v>32</v>
      </c>
      <c r="G7" s="28" t="s">
        <v>38</v>
      </c>
      <c r="H7" s="28" t="s">
        <v>32</v>
      </c>
      <c r="I7" s="28" t="s">
        <v>38</v>
      </c>
      <c r="J7" s="28" t="s">
        <v>32</v>
      </c>
      <c r="K7" s="28" t="s">
        <v>38</v>
      </c>
      <c r="L7" s="28" t="s">
        <v>32</v>
      </c>
      <c r="M7" s="28" t="s">
        <v>38</v>
      </c>
      <c r="N7" s="29" t="s">
        <v>26</v>
      </c>
      <c r="O7" s="30" t="s">
        <v>40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5" ht="17.25">
      <c r="A9" s="31" t="s">
        <v>92</v>
      </c>
      <c r="B9" s="57">
        <v>260213</v>
      </c>
      <c r="C9" s="33">
        <f>22870.41+126142.36</f>
        <v>149012.77</v>
      </c>
      <c r="D9" s="76">
        <v>2170</v>
      </c>
      <c r="E9" s="33">
        <v>0</v>
      </c>
      <c r="F9" s="76">
        <v>113090</v>
      </c>
      <c r="G9" s="33">
        <f>791.44+27727.64</f>
        <v>28519.079999999998</v>
      </c>
      <c r="H9" s="76">
        <v>0</v>
      </c>
      <c r="I9" s="33">
        <v>0</v>
      </c>
      <c r="J9" s="76">
        <v>3000</v>
      </c>
      <c r="K9" s="33">
        <v>122.39</v>
      </c>
      <c r="L9" s="76">
        <v>15000</v>
      </c>
      <c r="M9" s="33">
        <v>11029.19</v>
      </c>
      <c r="N9" s="34">
        <f>+M9+K9+I9+G9+E9+C9</f>
        <v>188683.43</v>
      </c>
      <c r="O9" s="34">
        <f>+B9+D9+F9+H9+J9+L9-N9</f>
        <v>204789.57</v>
      </c>
    </row>
    <row r="10" spans="1:15" ht="16.5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260213</v>
      </c>
      <c r="C12" s="40">
        <f>SUM(C9)</f>
        <v>149012.77</v>
      </c>
      <c r="D12" s="39">
        <f>SUM(D9:D11)</f>
        <v>2170</v>
      </c>
      <c r="E12" s="40">
        <f>SUM(E9)</f>
        <v>0</v>
      </c>
      <c r="F12" s="39">
        <f>SUM(F9:F11)</f>
        <v>113090</v>
      </c>
      <c r="G12" s="40">
        <f>SUM(G9)</f>
        <v>28519.079999999998</v>
      </c>
      <c r="H12" s="99">
        <f>SUM(H9:H11)</f>
        <v>0</v>
      </c>
      <c r="I12" s="40">
        <v>0</v>
      </c>
      <c r="J12" s="39">
        <f>SUM(J9:J11)</f>
        <v>3000</v>
      </c>
      <c r="K12" s="40">
        <f>SUM(K9)</f>
        <v>122.39</v>
      </c>
      <c r="L12" s="39">
        <f>SUM(L9:L11)</f>
        <v>15000</v>
      </c>
      <c r="M12" s="40">
        <f>SUM(M9)</f>
        <v>11029.19</v>
      </c>
      <c r="N12" s="42">
        <f>SUM(N9)</f>
        <v>188683.43</v>
      </c>
      <c r="O12" s="42">
        <f>SUM(O9)</f>
        <v>204789.57</v>
      </c>
    </row>
    <row r="13" spans="1:15" ht="17.25" thickBot="1">
      <c r="A13" s="43" t="s">
        <v>31</v>
      </c>
      <c r="B13" s="88"/>
      <c r="C13" s="93">
        <f>+C12/B12</f>
        <v>0.5726569003085933</v>
      </c>
      <c r="D13" s="89"/>
      <c r="E13" s="89">
        <f>+E12/D12</f>
        <v>0</v>
      </c>
      <c r="F13" s="89"/>
      <c r="G13" s="93">
        <f>+G12/F12</f>
        <v>0.2521803873021487</v>
      </c>
      <c r="H13" s="89"/>
      <c r="I13" s="89"/>
      <c r="J13" s="89"/>
      <c r="K13" s="47">
        <f>+K12/J12</f>
        <v>0.04079666666666667</v>
      </c>
      <c r="L13" s="45"/>
      <c r="M13" s="145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44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27</v>
      </c>
      <c r="B48" s="71" t="s">
        <v>28</v>
      </c>
      <c r="C48" s="91" t="s">
        <v>29</v>
      </c>
      <c r="D48" s="5"/>
      <c r="H48" s="53"/>
    </row>
    <row r="49" spans="1:8" ht="17.25">
      <c r="A49" s="65">
        <f>+B12</f>
        <v>260213</v>
      </c>
      <c r="B49" s="65">
        <f>+C12</f>
        <v>149012.77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0</v>
      </c>
      <c r="C50" s="91" t="s">
        <v>2</v>
      </c>
      <c r="D50" s="5"/>
      <c r="H50" s="53"/>
    </row>
    <row r="51" spans="1:8" ht="17.25">
      <c r="A51" s="65">
        <f>+F12</f>
        <v>113090</v>
      </c>
      <c r="B51" s="65">
        <f>+G12</f>
        <v>28519.079999999998</v>
      </c>
      <c r="C51" s="91" t="s">
        <v>3</v>
      </c>
      <c r="D51" s="5"/>
      <c r="H51" s="53"/>
    </row>
    <row r="52" spans="1:3" ht="17.25">
      <c r="A52" s="65">
        <f>+J12</f>
        <v>3000</v>
      </c>
      <c r="B52" s="65">
        <f>+K12</f>
        <v>122.39</v>
      </c>
      <c r="C52" s="62" t="s">
        <v>33</v>
      </c>
    </row>
    <row r="53" spans="1:3" ht="17.25">
      <c r="A53" s="65">
        <f>+L12</f>
        <v>15000</v>
      </c>
      <c r="B53" s="65">
        <f>+M12</f>
        <v>11029.19</v>
      </c>
      <c r="C53" s="62" t="s">
        <v>36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mergeCells count="9">
    <mergeCell ref="B2:E2"/>
    <mergeCell ref="F6:G6"/>
    <mergeCell ref="B3:C3"/>
    <mergeCell ref="D6:E6"/>
    <mergeCell ref="B6:C6"/>
    <mergeCell ref="I2:J2"/>
    <mergeCell ref="L6:M6"/>
    <mergeCell ref="J6:K6"/>
    <mergeCell ref="H6:I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I1">
      <selection activeCell="P15" sqref="P15"/>
    </sheetView>
  </sheetViews>
  <sheetFormatPr defaultColWidth="11.421875" defaultRowHeight="15"/>
  <cols>
    <col min="1" max="1" width="14.28125" style="1" customWidth="1"/>
    <col min="2" max="2" width="10.140625" style="1" customWidth="1"/>
    <col min="3" max="3" width="12.57421875" style="1" customWidth="1"/>
    <col min="4" max="4" width="9.140625" style="1" customWidth="1"/>
    <col min="5" max="5" width="12.28125" style="1" customWidth="1"/>
    <col min="6" max="6" width="9.421875" style="1" customWidth="1"/>
    <col min="7" max="7" width="11.8515625" style="1" customWidth="1"/>
    <col min="8" max="8" width="7.421875" style="1" customWidth="1"/>
    <col min="9" max="9" width="9.421875" style="1" customWidth="1"/>
    <col min="10" max="10" width="7.140625" style="1" customWidth="1"/>
    <col min="11" max="11" width="10.140625" style="1" customWidth="1"/>
    <col min="12" max="12" width="7.57421875" style="1" customWidth="1"/>
    <col min="13" max="13" width="10.28125" style="1" customWidth="1"/>
    <col min="14" max="14" width="8.8515625" style="1" customWidth="1"/>
    <col min="15" max="15" width="12.421875" style="1" customWidth="1"/>
    <col min="16" max="16" width="13.14062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1" spans="1:15" ht="18">
      <c r="A1" s="151" t="s">
        <v>0</v>
      </c>
      <c r="B1" s="164" t="s">
        <v>117</v>
      </c>
      <c r="C1" s="175"/>
      <c r="D1" s="175"/>
      <c r="E1" s="175"/>
      <c r="F1" s="156"/>
      <c r="L1" s="173" t="s">
        <v>24</v>
      </c>
      <c r="M1" s="174"/>
      <c r="N1" s="158">
        <v>40360</v>
      </c>
      <c r="O1" s="23"/>
    </row>
    <row r="2" spans="2:4" ht="4.5" customHeight="1">
      <c r="B2" s="177"/>
      <c r="C2" s="178"/>
      <c r="D2" s="178"/>
    </row>
    <row r="3" ht="17.25" thickBot="1"/>
    <row r="4" spans="1:17" ht="17.25">
      <c r="A4" s="25"/>
      <c r="B4" s="171" t="s">
        <v>1</v>
      </c>
      <c r="C4" s="172"/>
      <c r="D4" s="171" t="s">
        <v>2</v>
      </c>
      <c r="E4" s="172"/>
      <c r="F4" s="171" t="s">
        <v>3</v>
      </c>
      <c r="G4" s="172"/>
      <c r="H4" s="171" t="s">
        <v>35</v>
      </c>
      <c r="I4" s="172"/>
      <c r="J4" s="171" t="s">
        <v>33</v>
      </c>
      <c r="K4" s="172"/>
      <c r="L4" s="171" t="s">
        <v>37</v>
      </c>
      <c r="M4" s="172"/>
      <c r="N4" s="171" t="s">
        <v>34</v>
      </c>
      <c r="O4" s="172"/>
      <c r="P4" s="26" t="s">
        <v>5</v>
      </c>
      <c r="Q4" s="26" t="s">
        <v>39</v>
      </c>
    </row>
    <row r="5" spans="1:17" ht="17.25">
      <c r="A5" s="27"/>
      <c r="B5" s="28" t="s">
        <v>32</v>
      </c>
      <c r="C5" s="28" t="s">
        <v>38</v>
      </c>
      <c r="D5" s="28" t="s">
        <v>32</v>
      </c>
      <c r="E5" s="28" t="s">
        <v>38</v>
      </c>
      <c r="F5" s="28" t="s">
        <v>32</v>
      </c>
      <c r="G5" s="28" t="s">
        <v>38</v>
      </c>
      <c r="H5" s="28" t="s">
        <v>32</v>
      </c>
      <c r="I5" s="28" t="s">
        <v>38</v>
      </c>
      <c r="J5" s="28" t="s">
        <v>32</v>
      </c>
      <c r="K5" s="28" t="s">
        <v>38</v>
      </c>
      <c r="L5" s="28" t="s">
        <v>32</v>
      </c>
      <c r="M5" s="28" t="s">
        <v>38</v>
      </c>
      <c r="N5" s="28" t="s">
        <v>32</v>
      </c>
      <c r="O5" s="28" t="s">
        <v>38</v>
      </c>
      <c r="P5" s="126" t="s">
        <v>26</v>
      </c>
      <c r="Q5" s="30" t="s">
        <v>40</v>
      </c>
    </row>
    <row r="6" spans="1:17" ht="17.25">
      <c r="A6" s="31" t="s">
        <v>15</v>
      </c>
      <c r="B6" s="32">
        <v>987086</v>
      </c>
      <c r="C6" s="33">
        <f>35599.93+426118.9+6996.2+34377.46+6881.88+27071.77</f>
        <v>537046.14</v>
      </c>
      <c r="D6" s="68">
        <f>13500-5000</f>
        <v>8500</v>
      </c>
      <c r="E6" s="33">
        <f>2027.45+33842.16</f>
        <v>35869.61</v>
      </c>
      <c r="F6" s="68">
        <f>359590-50000</f>
        <v>309590</v>
      </c>
      <c r="G6" s="33">
        <f>28688.06+149517.02</f>
        <v>178205.08</v>
      </c>
      <c r="H6" s="68">
        <v>44400</v>
      </c>
      <c r="I6" s="33">
        <f>17139.05+42883.5</f>
        <v>60022.55</v>
      </c>
      <c r="J6" s="68">
        <v>30000</v>
      </c>
      <c r="K6" s="33">
        <v>2680.85</v>
      </c>
      <c r="L6" s="68">
        <v>0</v>
      </c>
      <c r="M6" s="33">
        <v>28474.97</v>
      </c>
      <c r="N6" s="68">
        <v>775264</v>
      </c>
      <c r="O6" s="33">
        <v>254407.74</v>
      </c>
      <c r="P6" s="34">
        <f aca="true" t="shared" si="0" ref="P6:P12">+O6+M6+K6+I6+G6+E6+C6</f>
        <v>1096706.94</v>
      </c>
      <c r="Q6" s="34">
        <f aca="true" t="shared" si="1" ref="Q6:Q12">+B6+D6+F6+H6+J6+L6+N6-P6</f>
        <v>1058133.06</v>
      </c>
    </row>
    <row r="7" spans="1:17" ht="17.25">
      <c r="A7" s="31" t="s">
        <v>118</v>
      </c>
      <c r="B7" s="32">
        <v>1085238</v>
      </c>
      <c r="C7" s="33">
        <f>27241.35+258590.55+1294.54+84607.03+34490.13+128812.04</f>
        <v>535035.64</v>
      </c>
      <c r="D7" s="68">
        <f>65912-5000</f>
        <v>60912</v>
      </c>
      <c r="E7" s="33">
        <f>5930.54+32926.58</f>
        <v>38857.12</v>
      </c>
      <c r="F7" s="68">
        <v>244575</v>
      </c>
      <c r="G7" s="33">
        <f>2457.49+94607.39+37173</f>
        <v>134237.88</v>
      </c>
      <c r="H7" s="68">
        <v>0</v>
      </c>
      <c r="I7" s="33">
        <v>272.1</v>
      </c>
      <c r="J7" s="68">
        <v>3000</v>
      </c>
      <c r="K7" s="33">
        <v>2496.89</v>
      </c>
      <c r="L7" s="68">
        <v>23000</v>
      </c>
      <c r="M7" s="33">
        <f>129.72+468.35</f>
        <v>598.07</v>
      </c>
      <c r="N7" s="68">
        <v>0</v>
      </c>
      <c r="O7" s="33">
        <v>29854.71</v>
      </c>
      <c r="P7" s="34">
        <f>+O7+M7+K7+I7+G7+E7+C7</f>
        <v>741352.41</v>
      </c>
      <c r="Q7" s="34">
        <f t="shared" si="1"/>
        <v>675372.59</v>
      </c>
    </row>
    <row r="8" spans="1:18" ht="17.25">
      <c r="A8" s="31" t="s">
        <v>119</v>
      </c>
      <c r="B8" s="32">
        <v>3969640</v>
      </c>
      <c r="C8" s="33">
        <f>60767.46+2146993.03</f>
        <v>2207760.4899999998</v>
      </c>
      <c r="D8" s="68">
        <f>483500+30000</f>
        <v>513500</v>
      </c>
      <c r="E8" s="33">
        <f>32484.45+732460.99</f>
        <v>764945.44</v>
      </c>
      <c r="F8" s="68">
        <v>765550</v>
      </c>
      <c r="G8" s="33">
        <f>97449.13+486824.44</f>
        <v>584273.5700000001</v>
      </c>
      <c r="H8" s="68">
        <v>0</v>
      </c>
      <c r="I8" s="33">
        <v>0</v>
      </c>
      <c r="J8" s="68">
        <v>0</v>
      </c>
      <c r="K8" s="33">
        <v>11319</v>
      </c>
      <c r="L8" s="68">
        <v>0</v>
      </c>
      <c r="M8" s="33">
        <v>30000</v>
      </c>
      <c r="N8" s="68">
        <v>0</v>
      </c>
      <c r="O8" s="33">
        <v>173086.36</v>
      </c>
      <c r="P8" s="34">
        <f t="shared" si="0"/>
        <v>3771384.86</v>
      </c>
      <c r="Q8" s="34">
        <f t="shared" si="1"/>
        <v>1477305.1400000001</v>
      </c>
      <c r="R8" s="5"/>
    </row>
    <row r="9" spans="1:17" ht="17.25">
      <c r="A9" s="31" t="s">
        <v>41</v>
      </c>
      <c r="B9" s="32">
        <v>1773070</v>
      </c>
      <c r="C9" s="33">
        <f>173918.72+842182.94+5981.88+15417.78</f>
        <v>1037501.32</v>
      </c>
      <c r="D9" s="68">
        <f>485900+180000</f>
        <v>665900</v>
      </c>
      <c r="E9" s="33">
        <f>89094.35+321212.59+2415.4</f>
        <v>412722.3400000001</v>
      </c>
      <c r="F9" s="68">
        <v>156200</v>
      </c>
      <c r="G9" s="33">
        <f>1802.54+82728.12</f>
        <v>84530.65999999999</v>
      </c>
      <c r="H9" s="68">
        <v>0</v>
      </c>
      <c r="I9" s="33">
        <v>0</v>
      </c>
      <c r="J9" s="68">
        <v>0</v>
      </c>
      <c r="K9" s="33">
        <v>1228.38</v>
      </c>
      <c r="L9" s="68">
        <v>16000</v>
      </c>
      <c r="M9" s="33">
        <f>21673.7+11534.99</f>
        <v>33208.69</v>
      </c>
      <c r="N9" s="68">
        <v>0</v>
      </c>
      <c r="O9" s="33">
        <v>150856.95</v>
      </c>
      <c r="P9" s="34">
        <f t="shared" si="0"/>
        <v>1720048.3399999999</v>
      </c>
      <c r="Q9" s="34">
        <f t="shared" si="1"/>
        <v>891121.6600000001</v>
      </c>
    </row>
    <row r="10" spans="1:17" ht="17.25">
      <c r="A10" s="31" t="s">
        <v>120</v>
      </c>
      <c r="B10" s="32">
        <v>86085</v>
      </c>
      <c r="C10" s="33">
        <f>13164.54+32498.29</f>
        <v>45662.83</v>
      </c>
      <c r="D10" s="100">
        <f>346600+40000</f>
        <v>386600</v>
      </c>
      <c r="E10" s="80">
        <f>3336.29+56668.84</f>
        <v>60005.13</v>
      </c>
      <c r="F10" s="100">
        <v>0</v>
      </c>
      <c r="G10" s="80">
        <f>1640+7800</f>
        <v>9440</v>
      </c>
      <c r="H10" s="100">
        <v>0</v>
      </c>
      <c r="I10" s="80">
        <v>0</v>
      </c>
      <c r="J10" s="100">
        <v>5000</v>
      </c>
      <c r="K10" s="80">
        <v>0</v>
      </c>
      <c r="L10" s="100">
        <v>200000</v>
      </c>
      <c r="M10" s="80">
        <f>34634.56+199760.7</f>
        <v>234395.26</v>
      </c>
      <c r="N10" s="100">
        <v>0</v>
      </c>
      <c r="O10" s="80">
        <v>8508.33</v>
      </c>
      <c r="P10" s="34">
        <f t="shared" si="0"/>
        <v>358011.55</v>
      </c>
      <c r="Q10" s="34">
        <f t="shared" si="1"/>
        <v>319673.45</v>
      </c>
    </row>
    <row r="11" spans="1:17" ht="17.25">
      <c r="A11" s="31" t="s">
        <v>121</v>
      </c>
      <c r="B11" s="32">
        <v>374455</v>
      </c>
      <c r="C11" s="33">
        <f>52655.39+207286.3</f>
        <v>259941.69</v>
      </c>
      <c r="D11" s="68">
        <v>230000</v>
      </c>
      <c r="E11" s="33">
        <f>5295+246739.87</f>
        <v>252034.87</v>
      </c>
      <c r="F11" s="68">
        <v>1500000</v>
      </c>
      <c r="G11" s="33">
        <f>82200+925267.3</f>
        <v>1007467.3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20</v>
      </c>
      <c r="N11" s="100">
        <v>0</v>
      </c>
      <c r="O11" s="33">
        <v>164400</v>
      </c>
      <c r="P11" s="34">
        <f t="shared" si="0"/>
        <v>1683863.8599999999</v>
      </c>
      <c r="Q11" s="34">
        <f t="shared" si="1"/>
        <v>420591.14000000013</v>
      </c>
    </row>
    <row r="12" spans="1:17" ht="17.25">
      <c r="A12" s="31" t="s">
        <v>80</v>
      </c>
      <c r="B12" s="32">
        <v>4010583</v>
      </c>
      <c r="C12" s="33">
        <f>405510.41+1211315.79+53446.79+147281.13+2738.55+10434.72+11058.81+35161.1</f>
        <v>1876947.3000000003</v>
      </c>
      <c r="D12" s="68">
        <f>192446-70000</f>
        <v>122446</v>
      </c>
      <c r="E12" s="33">
        <f>27595.28+131687.77+240</f>
        <v>159523.05</v>
      </c>
      <c r="F12" s="68">
        <v>202900</v>
      </c>
      <c r="G12" s="33">
        <f>12425.64+243731.51+11689.59+10528.07</f>
        <v>278374.81000000006</v>
      </c>
      <c r="H12" s="68">
        <v>2000</v>
      </c>
      <c r="I12" s="33">
        <v>3815.36</v>
      </c>
      <c r="J12" s="68">
        <f>8500+5000</f>
        <v>13500</v>
      </c>
      <c r="K12" s="33">
        <f>2532+35876.93</f>
        <v>38408.93</v>
      </c>
      <c r="L12" s="68">
        <v>216600</v>
      </c>
      <c r="M12" s="33">
        <f>10839.35+167285.52</f>
        <v>178124.87</v>
      </c>
      <c r="N12" s="68">
        <v>0</v>
      </c>
      <c r="O12" s="33">
        <v>86009.5</v>
      </c>
      <c r="P12" s="34">
        <f t="shared" si="0"/>
        <v>2621203.8200000003</v>
      </c>
      <c r="Q12" s="34">
        <f t="shared" si="1"/>
        <v>1946825.1799999997</v>
      </c>
    </row>
    <row r="13" spans="1:17" ht="18" thickBot="1">
      <c r="A13" s="38" t="s">
        <v>11</v>
      </c>
      <c r="B13" s="39">
        <f aca="true" t="shared" si="2" ref="B13:Q13">SUM(B6:B12)</f>
        <v>12286157</v>
      </c>
      <c r="C13" s="40">
        <f t="shared" si="2"/>
        <v>6499895.41</v>
      </c>
      <c r="D13" s="39">
        <f t="shared" si="2"/>
        <v>1987858</v>
      </c>
      <c r="E13" s="40">
        <f t="shared" si="2"/>
        <v>1723957.5599999998</v>
      </c>
      <c r="F13" s="39">
        <f t="shared" si="2"/>
        <v>3178815</v>
      </c>
      <c r="G13" s="40">
        <f t="shared" si="2"/>
        <v>2276529.3000000003</v>
      </c>
      <c r="H13" s="39">
        <f t="shared" si="2"/>
        <v>46400</v>
      </c>
      <c r="I13" s="40">
        <f t="shared" si="2"/>
        <v>64110.01</v>
      </c>
      <c r="J13" s="39">
        <f t="shared" si="2"/>
        <v>51500</v>
      </c>
      <c r="K13" s="40">
        <f t="shared" si="2"/>
        <v>56134.05</v>
      </c>
      <c r="L13" s="39">
        <f t="shared" si="2"/>
        <v>455600</v>
      </c>
      <c r="M13" s="40">
        <f t="shared" si="2"/>
        <v>504821.86</v>
      </c>
      <c r="N13" s="39">
        <f t="shared" si="2"/>
        <v>775264</v>
      </c>
      <c r="O13" s="40">
        <f t="shared" si="2"/>
        <v>867123.59</v>
      </c>
      <c r="P13" s="42">
        <f t="shared" si="2"/>
        <v>11992571.78</v>
      </c>
      <c r="Q13" s="42">
        <f t="shared" si="2"/>
        <v>6789022.220000001</v>
      </c>
    </row>
    <row r="14" spans="1:17" ht="17.25" thickBot="1">
      <c r="A14" s="38" t="s">
        <v>31</v>
      </c>
      <c r="B14" s="88"/>
      <c r="C14" s="93">
        <f>+C13/B13</f>
        <v>0.5290421903285136</v>
      </c>
      <c r="D14" s="93"/>
      <c r="E14" s="93">
        <f>+E13/D13</f>
        <v>0.867243817214308</v>
      </c>
      <c r="F14" s="93"/>
      <c r="G14" s="93">
        <f>+G13/F13</f>
        <v>0.7161565866525734</v>
      </c>
      <c r="H14" s="93"/>
      <c r="I14" s="93">
        <f>+I13/H13</f>
        <v>1.38168125</v>
      </c>
      <c r="J14" s="93"/>
      <c r="K14" s="93">
        <f>+K13/J13</f>
        <v>1.0899815533980584</v>
      </c>
      <c r="L14" s="154"/>
      <c r="M14" s="152">
        <f>+M13/L13</f>
        <v>1.1080374451273047</v>
      </c>
      <c r="N14" s="45"/>
      <c r="O14" s="145">
        <f>+O13/N13</f>
        <v>1.1184881408139677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4"/>
      <c r="Q15" s="5"/>
    </row>
    <row r="16" spans="16:17" ht="16.5">
      <c r="P16" s="48"/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27</v>
      </c>
      <c r="B49" s="71" t="s">
        <v>28</v>
      </c>
      <c r="C49" s="62" t="s">
        <v>29</v>
      </c>
      <c r="D49" s="62"/>
    </row>
    <row r="50" spans="1:3" ht="17.25">
      <c r="A50" s="64">
        <f>+B13</f>
        <v>12286157</v>
      </c>
      <c r="B50" s="65">
        <f>+C13</f>
        <v>6499895.41</v>
      </c>
      <c r="C50" s="62" t="s">
        <v>1</v>
      </c>
    </row>
    <row r="51" spans="1:3" ht="17.25">
      <c r="A51" s="64">
        <f>+D13</f>
        <v>1987858</v>
      </c>
      <c r="B51" s="65">
        <f>+E13</f>
        <v>1723957.5599999998</v>
      </c>
      <c r="C51" s="62" t="s">
        <v>2</v>
      </c>
    </row>
    <row r="52" spans="1:3" ht="17.25">
      <c r="A52" s="64">
        <f>+F13</f>
        <v>3178815</v>
      </c>
      <c r="B52" s="65">
        <f>+G13</f>
        <v>2276529.3000000003</v>
      </c>
      <c r="C52" s="62" t="s">
        <v>3</v>
      </c>
    </row>
    <row r="53" spans="1:3" ht="17.25">
      <c r="A53" s="66">
        <f>+H13</f>
        <v>46400</v>
      </c>
      <c r="B53" s="65">
        <f>+I13</f>
        <v>64110.01</v>
      </c>
      <c r="C53" s="62" t="s">
        <v>35</v>
      </c>
    </row>
    <row r="54" spans="1:3" ht="17.25">
      <c r="A54" s="66">
        <f>+J13</f>
        <v>51500</v>
      </c>
      <c r="B54" s="65">
        <f>+K13</f>
        <v>56134.05</v>
      </c>
      <c r="C54" s="62" t="s">
        <v>33</v>
      </c>
    </row>
    <row r="55" spans="1:3" ht="17.25">
      <c r="A55" s="64">
        <f>+L13</f>
        <v>455600</v>
      </c>
      <c r="B55" s="65">
        <f>+M13</f>
        <v>504821.86</v>
      </c>
      <c r="C55" s="62" t="s">
        <v>30</v>
      </c>
    </row>
    <row r="56" spans="1:3" ht="17.25">
      <c r="A56" s="64">
        <f>+N13</f>
        <v>775264</v>
      </c>
      <c r="B56" s="65">
        <f>+O13</f>
        <v>867123.59</v>
      </c>
      <c r="C56" s="62" t="s">
        <v>36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mergeCells count="10">
    <mergeCell ref="B2:D2"/>
    <mergeCell ref="J4:K4"/>
    <mergeCell ref="L4:M4"/>
    <mergeCell ref="L1:M1"/>
    <mergeCell ref="B1:E1"/>
    <mergeCell ref="N4:O4"/>
    <mergeCell ref="B4:C4"/>
    <mergeCell ref="D4:E4"/>
    <mergeCell ref="F4:G4"/>
    <mergeCell ref="H4:I4"/>
  </mergeCells>
  <printOptions/>
  <pageMargins left="0.66" right="0.46" top="0.84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2010-08-13T16:01:58Z</cp:lastPrinted>
  <dcterms:created xsi:type="dcterms:W3CDTF">2000-04-26T12:06:38Z</dcterms:created>
  <dcterms:modified xsi:type="dcterms:W3CDTF">2010-08-13T16:02:47Z</dcterms:modified>
  <cp:category/>
  <cp:version/>
  <cp:contentType/>
  <cp:contentStatus/>
</cp:coreProperties>
</file>