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745" windowHeight="6690" tabRatio="842" firstSheet="1" activeTab="12"/>
  </bookViews>
  <sheets>
    <sheet name="INT" sheetId="1" r:id="rId1"/>
    <sheet name="GOB" sheetId="2" r:id="rId2"/>
    <sheet name="SEH" sheetId="3" r:id="rId3"/>
    <sheet name="SAS" sheetId="4" r:id="rId4"/>
    <sheet name="SOP" sheetId="5" r:id="rId5"/>
    <sheet name="SFOI" sheetId="6" r:id="rId6"/>
    <sheet name="CD" sheetId="7" r:id="rId7"/>
    <sheet name="CM" sheetId="8" r:id="rId8"/>
    <sheet name="SSP" sheetId="9" r:id="rId9"/>
    <sheet name="CULTURA" sheetId="10" r:id="rId10"/>
    <sheet name="DEPORTES" sheetId="11" r:id="rId11"/>
    <sheet name="GENERAL I" sheetId="12" r:id="rId12"/>
    <sheet name="GENERAL II" sheetId="13" r:id="rId13"/>
  </sheets>
  <definedNames/>
  <calcPr fullCalcOnLoad="1"/>
</workbook>
</file>

<file path=xl/sharedStrings.xml><?xml version="1.0" encoding="utf-8"?>
<sst xmlns="http://schemas.openxmlformats.org/spreadsheetml/2006/main" count="617" uniqueCount="143">
  <si>
    <t>AREA:</t>
  </si>
  <si>
    <t>PERSONAL</t>
  </si>
  <si>
    <t>CONSUMO</t>
  </si>
  <si>
    <t>SERVICIOS</t>
  </si>
  <si>
    <t>TRANS.CTES.</t>
  </si>
  <si>
    <t>TOTAL</t>
  </si>
  <si>
    <t>Dir.Hacienda</t>
  </si>
  <si>
    <t>Dir.Informática</t>
  </si>
  <si>
    <t>Dir.Suministros</t>
  </si>
  <si>
    <t>Tesorería</t>
  </si>
  <si>
    <t>Contaduría</t>
  </si>
  <si>
    <t>TOTALES</t>
  </si>
  <si>
    <t>Dir.Arquitectura</t>
  </si>
  <si>
    <t>Dir.Des.Urbano</t>
  </si>
  <si>
    <t>Secretaría</t>
  </si>
  <si>
    <t>Intendencia</t>
  </si>
  <si>
    <t>Sec.Gobierno</t>
  </si>
  <si>
    <t>Sec.Econ.y Hacienda</t>
  </si>
  <si>
    <t>Sec.Obras Públicas</t>
  </si>
  <si>
    <t>Sec.Servicios Públicos</t>
  </si>
  <si>
    <t>Sec.Acción Social</t>
  </si>
  <si>
    <t>Concejo Deliberante</t>
  </si>
  <si>
    <t>Contraloría Municipal</t>
  </si>
  <si>
    <t>ACUMULADO A:</t>
  </si>
  <si>
    <t>SALDO</t>
  </si>
  <si>
    <t>EJECUTADO</t>
  </si>
  <si>
    <t>PRESUPUESTO</t>
  </si>
  <si>
    <t>EJECUCION</t>
  </si>
  <si>
    <t>RUBRO</t>
  </si>
  <si>
    <t>TRAB.PUBL.</t>
  </si>
  <si>
    <t>% EJECUTADO</t>
  </si>
  <si>
    <t>crédito</t>
  </si>
  <si>
    <t>BS.CAP.+BS.PREEX.</t>
  </si>
  <si>
    <t>AMORTIZ.DEUDA</t>
  </si>
  <si>
    <t>TRANSF.CTES.</t>
  </si>
  <si>
    <t>AMORT.DDA.</t>
  </si>
  <si>
    <t>TRABAJOS PUBLICOS</t>
  </si>
  <si>
    <t>ejecución</t>
  </si>
  <si>
    <t>SDO. CTO.</t>
  </si>
  <si>
    <t>PPTO.</t>
  </si>
  <si>
    <t xml:space="preserve">Dir.Talleres </t>
  </si>
  <si>
    <t>EJECUCION PRESUPUESTARIA POR AREAS</t>
  </si>
  <si>
    <t>Datos al:</t>
  </si>
  <si>
    <t>AREA</t>
  </si>
  <si>
    <t xml:space="preserve">% </t>
  </si>
  <si>
    <t xml:space="preserve">EJECUCION DEL GASTO (valores acumulados) </t>
  </si>
  <si>
    <t>POR  AREA</t>
  </si>
  <si>
    <t>ejecutado</t>
  </si>
  <si>
    <t>BS.CAP+PREEX.</t>
  </si>
  <si>
    <t>CTO.PTO.</t>
  </si>
  <si>
    <t>% ejecutado por rubros</t>
  </si>
  <si>
    <t>Referencias:</t>
  </si>
  <si>
    <t>sdo.cto.pto.</t>
  </si>
  <si>
    <t>amort.dda.</t>
  </si>
  <si>
    <t>trab.públ.</t>
  </si>
  <si>
    <t>bs.cap+preex.</t>
  </si>
  <si>
    <t>transf.ctes.</t>
  </si>
  <si>
    <t>servicios</t>
  </si>
  <si>
    <t>consumo</t>
  </si>
  <si>
    <t>personal</t>
  </si>
  <si>
    <t>trans.</t>
  </si>
  <si>
    <t>bs.cap+preex</t>
  </si>
  <si>
    <t>trab.publ</t>
  </si>
  <si>
    <t>sdo.cto.</t>
  </si>
  <si>
    <t>total</t>
  </si>
  <si>
    <t>INT</t>
  </si>
  <si>
    <t>GOB</t>
  </si>
  <si>
    <t>SEH</t>
  </si>
  <si>
    <t>SOP</t>
  </si>
  <si>
    <t>SSP</t>
  </si>
  <si>
    <t>SAS</t>
  </si>
  <si>
    <t>CD</t>
  </si>
  <si>
    <t>CM</t>
  </si>
  <si>
    <t>Dir.Admin.y Técnica</t>
  </si>
  <si>
    <t>Dir.Administrativa</t>
  </si>
  <si>
    <t>Dir.Desarrollo Social</t>
  </si>
  <si>
    <t>Dir.Com.Institucional</t>
  </si>
  <si>
    <t>Dir.Protección Civil</t>
  </si>
  <si>
    <t>Dir.Planeam.</t>
  </si>
  <si>
    <t>Dir.Obr.Infraest.</t>
  </si>
  <si>
    <t>BS.CAP+BS.PREEX.</t>
  </si>
  <si>
    <t>Dir.Prom.Comunitaria</t>
  </si>
  <si>
    <t>Dir.Gral.Adm.L.yT.</t>
  </si>
  <si>
    <t>Dir.Asunt.Cont.yDict.</t>
  </si>
  <si>
    <t xml:space="preserve"> </t>
  </si>
  <si>
    <t>Sec.Fisc.y Org.Interna</t>
  </si>
  <si>
    <t xml:space="preserve">                 TRAB.PUBLICOS</t>
  </si>
  <si>
    <t>Dir.Rec.Humanos</t>
  </si>
  <si>
    <t>Dir.Comerc.y Bromat.</t>
  </si>
  <si>
    <t>Dir.Tráns.y Transp.</t>
  </si>
  <si>
    <t>Privada</t>
  </si>
  <si>
    <t>IUNA</t>
  </si>
  <si>
    <t>Area Artes Sonoras</t>
  </si>
  <si>
    <t>Centro Cultural</t>
  </si>
  <si>
    <t>Area Artes Visuales</t>
  </si>
  <si>
    <t>CULT.</t>
  </si>
  <si>
    <t>DEP.</t>
  </si>
  <si>
    <t>TRAB.PUBLICOS</t>
  </si>
  <si>
    <t>Presidencia</t>
  </si>
  <si>
    <t>SFOI</t>
  </si>
  <si>
    <t>Unid.Des.Económico</t>
  </si>
  <si>
    <t>Asesoria en Seg.</t>
  </si>
  <si>
    <t>TRAB. PÚBLICOS</t>
  </si>
  <si>
    <t>Dir.Recaudaciones</t>
  </si>
  <si>
    <t>TRAB. PUBLICOS</t>
  </si>
  <si>
    <t>INTENDENCIA  MUNICIPAL</t>
  </si>
  <si>
    <t>SECRETARIA DE  GOBIERNO</t>
  </si>
  <si>
    <t>Juzgado de Faltas</t>
  </si>
  <si>
    <t>Dir.Inform.y Estadistica</t>
  </si>
  <si>
    <t>SECRETARIA DE ACCIÓN  SOCIAL</t>
  </si>
  <si>
    <t>Dir. Tercera Edad</t>
  </si>
  <si>
    <t>SECRETARIA DE OBRAS  PÚBLICAS</t>
  </si>
  <si>
    <t>SECRETARIA DE FISCALIZACIÓN Y  ORGANIZACIÓN  INTERNA</t>
  </si>
  <si>
    <t>CONCEJO  DELIBERANTE</t>
  </si>
  <si>
    <t>Bloque Conc.p/Desarrollo</t>
  </si>
  <si>
    <t>CONTRALORIA  MUNICIPAL</t>
  </si>
  <si>
    <t>SECRETARIA DE SERVICIOS  PÚBLICOS</t>
  </si>
  <si>
    <t>Dir.Scios.Grales.</t>
  </si>
  <si>
    <t>Dpto.San.Higiene</t>
  </si>
  <si>
    <t>Dpto. Talleres</t>
  </si>
  <si>
    <t>Dpto.Riego</t>
  </si>
  <si>
    <t>DIRECCIÓN   GENERAL  DE  CULTURA</t>
  </si>
  <si>
    <t>Area Artes Dramáticas</t>
  </si>
  <si>
    <t>Artes del Movimiento</t>
  </si>
  <si>
    <t>Talleres Barriales</t>
  </si>
  <si>
    <t>DIRECCIÓN   GENERAL  DE  DEPORTES</t>
  </si>
  <si>
    <t>Dir.Gral. de Cultura</t>
  </si>
  <si>
    <t>Dir.Gral. de Deportes</t>
  </si>
  <si>
    <t>Dir. Desarrollo Social</t>
  </si>
  <si>
    <t>Secretaria</t>
  </si>
  <si>
    <t>Dir.Museo y Patrimonio</t>
  </si>
  <si>
    <t>Dirección</t>
  </si>
  <si>
    <t>Coord.Téc.Act.Fisicas y Rec.</t>
  </si>
  <si>
    <t>Coord.Téc.Deport.y Eventos</t>
  </si>
  <si>
    <t>SECRETARIA DE  ECONOMÍA Y  HACIENDA</t>
  </si>
  <si>
    <t>Unidad Margen Sur</t>
  </si>
  <si>
    <t xml:space="preserve">                TRANSF. CTES.</t>
  </si>
  <si>
    <t>COMPROMETIDO</t>
  </si>
  <si>
    <t xml:space="preserve">EJECUCION DEL GASTO + COMPROMETIDO (valores acumulados) </t>
  </si>
  <si>
    <t xml:space="preserve">CREDITO POR </t>
  </si>
  <si>
    <t>AREA  AJUSTADO</t>
  </si>
  <si>
    <t>Dir.Proy.Urbanisticos</t>
  </si>
  <si>
    <t>Bloque Frente p/la Victoria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</si>
</sst>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00"/>
    <numFmt numFmtId="175" formatCode="0.00000000"/>
    <numFmt numFmtId="176" formatCode="#,##0.000"/>
    <numFmt numFmtId="177" formatCode="#,##0.0000"/>
    <numFmt numFmtId="178" formatCode="#,##0.00000"/>
    <numFmt numFmtId="179" formatCode="0.0000%"/>
    <numFmt numFmtId="180" formatCode="0.000%"/>
    <numFmt numFmtId="181" formatCode="0.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_);\(0\)"/>
    <numFmt numFmtId="188" formatCode="&quot;$&quot;\ #,##0"/>
    <numFmt numFmtId="189" formatCode="0.00000%"/>
    <numFmt numFmtId="190" formatCode="0.000000%"/>
  </numFmts>
  <fonts count="68">
    <font>
      <sz val="11"/>
      <name val="Garamond"/>
      <family val="0"/>
    </font>
    <font>
      <sz val="20.5"/>
      <name val="Garamond"/>
      <family val="0"/>
    </font>
    <font>
      <sz val="18.25"/>
      <name val="Garamond"/>
      <family val="0"/>
    </font>
    <font>
      <sz val="19"/>
      <name val="Garamond"/>
      <family val="0"/>
    </font>
    <font>
      <sz val="21.25"/>
      <name val="Garamond"/>
      <family val="0"/>
    </font>
    <font>
      <sz val="21.5"/>
      <name val="Garamond"/>
      <family val="0"/>
    </font>
    <font>
      <sz val="19.25"/>
      <name val="Garamond"/>
      <family val="0"/>
    </font>
    <font>
      <sz val="28.75"/>
      <name val="Garamond"/>
      <family val="0"/>
    </font>
    <font>
      <sz val="20.75"/>
      <name val="Garamond"/>
      <family val="0"/>
    </font>
    <font>
      <sz val="18.75"/>
      <name val="Garamond"/>
      <family val="0"/>
    </font>
    <font>
      <sz val="21"/>
      <name val="Garamond"/>
      <family val="0"/>
    </font>
    <font>
      <sz val="19.5"/>
      <name val="Garamond"/>
      <family val="0"/>
    </font>
    <font>
      <sz val="8"/>
      <name val="Garamond"/>
      <family val="0"/>
    </font>
    <font>
      <sz val="25"/>
      <name val="Garamond"/>
      <family val="0"/>
    </font>
    <font>
      <sz val="29.75"/>
      <name val="Garamond"/>
      <family val="0"/>
    </font>
    <font>
      <sz val="21.75"/>
      <name val="Garamond"/>
      <family val="0"/>
    </font>
    <font>
      <b/>
      <sz val="9"/>
      <name val="Trebuchet MS"/>
      <family val="2"/>
    </font>
    <font>
      <b/>
      <i/>
      <sz val="9"/>
      <name val="Trebuchet MS"/>
      <family val="2"/>
    </font>
    <font>
      <b/>
      <i/>
      <u val="single"/>
      <sz val="11.75"/>
      <name val="Trebuchet MS"/>
      <family val="2"/>
    </font>
    <font>
      <b/>
      <i/>
      <u val="single"/>
      <sz val="10.25"/>
      <name val="Trebuchet MS"/>
      <family val="2"/>
    </font>
    <font>
      <b/>
      <i/>
      <u val="single"/>
      <sz val="12"/>
      <name val="Trebuchet MS"/>
      <family val="2"/>
    </font>
    <font>
      <b/>
      <i/>
      <u val="single"/>
      <sz val="11"/>
      <name val="Trebuchet MS"/>
      <family val="2"/>
    </font>
    <font>
      <b/>
      <i/>
      <u val="single"/>
      <sz val="11.25"/>
      <name val="Trebuchet MS"/>
      <family val="2"/>
    </font>
    <font>
      <b/>
      <i/>
      <u val="single"/>
      <sz val="10.5"/>
      <name val="Trebuchet MS"/>
      <family val="2"/>
    </font>
    <font>
      <b/>
      <i/>
      <u val="single"/>
      <sz val="9.75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i/>
      <sz val="8"/>
      <name val="Trebuchet MS"/>
      <family val="2"/>
    </font>
    <font>
      <b/>
      <i/>
      <sz val="10"/>
      <name val="Trebuchet MS"/>
      <family val="2"/>
    </font>
    <font>
      <b/>
      <sz val="6.25"/>
      <name val="Trebuchet MS"/>
      <family val="2"/>
    </font>
    <font>
      <b/>
      <sz val="11"/>
      <color indexed="9"/>
      <name val="Trebuchet MS"/>
      <family val="2"/>
    </font>
    <font>
      <sz val="11"/>
      <color indexed="21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b/>
      <sz val="11"/>
      <color indexed="2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11"/>
      <color indexed="44"/>
      <name val="Trebuchet MS"/>
      <family val="2"/>
    </font>
    <font>
      <sz val="6"/>
      <name val="Trebuchet MS"/>
      <family val="2"/>
    </font>
    <font>
      <sz val="11"/>
      <color indexed="9"/>
      <name val="Trebuchet MS"/>
      <family val="2"/>
    </font>
    <font>
      <sz val="11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name val="Trebuchet MS"/>
      <family val="2"/>
    </font>
    <font>
      <b/>
      <i/>
      <sz val="11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2"/>
      <color indexed="56"/>
      <name val="Trebuchet MS"/>
      <family val="2"/>
    </font>
    <font>
      <b/>
      <sz val="11"/>
      <color indexed="20"/>
      <name val="Trebuchet MS"/>
      <family val="2"/>
    </font>
    <font>
      <b/>
      <sz val="11"/>
      <color indexed="30"/>
      <name val="Trebuchet MS"/>
      <family val="2"/>
    </font>
    <font>
      <b/>
      <sz val="4.75"/>
      <name val="Trebuchet MS"/>
      <family val="2"/>
    </font>
    <font>
      <b/>
      <sz val="4.25"/>
      <name val="Trebuchet MS"/>
      <family val="2"/>
    </font>
    <font>
      <b/>
      <sz val="6.5"/>
      <name val="Trebuchet MS"/>
      <family val="2"/>
    </font>
    <font>
      <b/>
      <sz val="5.5"/>
      <name val="Trebuchet MS"/>
      <family val="2"/>
    </font>
    <font>
      <b/>
      <sz val="4"/>
      <name val="Trebuchet MS"/>
      <family val="2"/>
    </font>
    <font>
      <b/>
      <sz val="4.5"/>
      <name val="Trebuchet MS"/>
      <family val="2"/>
    </font>
    <font>
      <b/>
      <sz val="6"/>
      <name val="Trebuchet MS"/>
      <family val="2"/>
    </font>
    <font>
      <b/>
      <sz val="5"/>
      <name val="Trebuchet MS"/>
      <family val="2"/>
    </font>
    <font>
      <b/>
      <sz val="5.75"/>
      <name val="Trebuchet MS"/>
      <family val="2"/>
    </font>
    <font>
      <b/>
      <i/>
      <sz val="12"/>
      <color indexed="18"/>
      <name val="Trebuchet MS"/>
      <family val="2"/>
    </font>
    <font>
      <b/>
      <sz val="12"/>
      <color indexed="18"/>
      <name val="Garamond"/>
      <family val="1"/>
    </font>
    <font>
      <sz val="12"/>
      <color indexed="18"/>
      <name val="Garamond"/>
      <family val="1"/>
    </font>
    <font>
      <sz val="11"/>
      <color indexed="18"/>
      <name val="Garamond"/>
      <family val="1"/>
    </font>
    <font>
      <b/>
      <sz val="10.5"/>
      <name val="Garamond"/>
      <family val="1"/>
    </font>
    <font>
      <b/>
      <u val="single"/>
      <sz val="11"/>
      <name val="Garamond"/>
      <family val="1"/>
    </font>
    <font>
      <b/>
      <sz val="3.75"/>
      <name val="Trebuchet MS"/>
      <family val="2"/>
    </font>
    <font>
      <b/>
      <sz val="5.25"/>
      <name val="Trebuchet MS"/>
      <family val="2"/>
    </font>
  </fonts>
  <fills count="13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thin"/>
      <bottom style="double"/>
    </border>
    <border>
      <left style="hair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slantDashDot"/>
      <right style="dotted"/>
      <top style="slantDashDot"/>
      <bottom>
        <color indexed="63"/>
      </bottom>
    </border>
    <border>
      <left style="dotted"/>
      <right style="slantDashDot"/>
      <top style="slantDashDot"/>
      <bottom>
        <color indexed="63"/>
      </bottom>
    </border>
    <border>
      <left style="slantDashDot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slantDashDot"/>
      <top>
        <color indexed="63"/>
      </top>
      <bottom style="thin"/>
    </border>
    <border>
      <left style="slantDashDot"/>
      <right style="slantDashDot"/>
      <top>
        <color indexed="63"/>
      </top>
      <bottom style="thin"/>
    </border>
    <border>
      <left style="slantDashDot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slantDashDot"/>
      <top>
        <color indexed="63"/>
      </top>
      <bottom>
        <color indexed="63"/>
      </bottom>
    </border>
    <border>
      <left style="slantDashDot"/>
      <right style="dotted"/>
      <top style="thin"/>
      <bottom style="slantDashDot"/>
    </border>
    <border>
      <left>
        <color indexed="63"/>
      </left>
      <right style="dotted"/>
      <top style="thin"/>
      <bottom style="slantDashDot"/>
    </border>
    <border>
      <left style="dotted"/>
      <right style="dotted"/>
      <top style="thin"/>
      <bottom style="slantDashDot"/>
    </border>
    <border>
      <left style="dotted"/>
      <right style="slantDashDot"/>
      <top style="thin"/>
      <bottom style="slantDashDot"/>
    </border>
    <border>
      <left style="slantDashDot"/>
      <right style="dotted"/>
      <top style="slantDashDot"/>
      <bottom style="slantDashDot"/>
    </border>
    <border>
      <left>
        <color indexed="63"/>
      </left>
      <right style="dotted"/>
      <top style="slantDashDot"/>
      <bottom style="slantDashDot"/>
    </border>
    <border>
      <left style="dotted"/>
      <right style="dotted"/>
      <top style="slantDashDot"/>
      <bottom style="slantDashDot"/>
    </border>
    <border>
      <left style="dotted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tted"/>
      <right>
        <color indexed="63"/>
      </right>
      <top style="thin"/>
      <bottom style="slantDashDot"/>
    </border>
    <border>
      <left style="dotted"/>
      <right>
        <color indexed="63"/>
      </right>
      <top>
        <color indexed="63"/>
      </top>
      <bottom style="slantDashDot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 style="thin"/>
      <bottom style="double"/>
    </border>
    <border>
      <left style="double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tted"/>
      <right style="slantDashDot"/>
      <top style="slantDashDot"/>
      <bottom style="slantDashDot"/>
    </border>
    <border>
      <left style="dotted"/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dotted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 style="slantDashDot"/>
    </border>
    <border>
      <left style="slantDashDot"/>
      <right style="slantDashDot"/>
      <top style="thin"/>
      <bottom style="slantDashDot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dotted"/>
      <right>
        <color indexed="63"/>
      </right>
      <top style="slantDashDot"/>
      <bottom>
        <color indexed="63"/>
      </bottom>
    </border>
    <border>
      <left>
        <color indexed="63"/>
      </left>
      <right style="dotted"/>
      <top style="slantDashDot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6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" fontId="26" fillId="0" borderId="0" xfId="0" applyNumberFormat="1" applyFont="1" applyAlignment="1">
      <alignment/>
    </xf>
    <xf numFmtId="0" fontId="27" fillId="0" borderId="4" xfId="0" applyFont="1" applyBorder="1" applyAlignment="1">
      <alignment/>
    </xf>
    <xf numFmtId="0" fontId="27" fillId="0" borderId="5" xfId="0" applyFont="1" applyBorder="1" applyAlignment="1">
      <alignment/>
    </xf>
    <xf numFmtId="0" fontId="27" fillId="0" borderId="6" xfId="0" applyFont="1" applyBorder="1" applyAlignment="1">
      <alignment/>
    </xf>
    <xf numFmtId="0" fontId="27" fillId="0" borderId="7" xfId="0" applyFont="1" applyBorder="1" applyAlignment="1">
      <alignment/>
    </xf>
    <xf numFmtId="9" fontId="26" fillId="0" borderId="0" xfId="0" applyNumberFormat="1" applyFont="1" applyAlignment="1">
      <alignment/>
    </xf>
    <xf numFmtId="4" fontId="16" fillId="0" borderId="8" xfId="0" applyNumberFormat="1" applyFont="1" applyBorder="1" applyAlignment="1">
      <alignment/>
    </xf>
    <xf numFmtId="10" fontId="16" fillId="0" borderId="8" xfId="0" applyNumberFormat="1" applyFont="1" applyBorder="1" applyAlignment="1">
      <alignment/>
    </xf>
    <xf numFmtId="10" fontId="16" fillId="0" borderId="9" xfId="0" applyNumberFormat="1" applyFont="1" applyBorder="1" applyAlignment="1">
      <alignment/>
    </xf>
    <xf numFmtId="10" fontId="16" fillId="0" borderId="10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4" fontId="16" fillId="0" borderId="13" xfId="0" applyNumberFormat="1" applyFont="1" applyBorder="1" applyAlignment="1">
      <alignment/>
    </xf>
    <xf numFmtId="17" fontId="33" fillId="0" borderId="0" xfId="0" applyNumberFormat="1" applyFont="1" applyAlignment="1">
      <alignment/>
    </xf>
    <xf numFmtId="0" fontId="16" fillId="0" borderId="0" xfId="0" applyFont="1" applyAlignment="1">
      <alignment/>
    </xf>
    <xf numFmtId="0" fontId="32" fillId="0" borderId="0" xfId="0" applyFont="1" applyAlignment="1">
      <alignment/>
    </xf>
    <xf numFmtId="17" fontId="34" fillId="0" borderId="0" xfId="0" applyNumberFormat="1" applyFont="1" applyAlignment="1">
      <alignment/>
    </xf>
    <xf numFmtId="0" fontId="35" fillId="0" borderId="0" xfId="0" applyFont="1" applyAlignment="1">
      <alignment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36" fillId="0" borderId="20" xfId="0" applyFont="1" applyBorder="1" applyAlignment="1">
      <alignment/>
    </xf>
    <xf numFmtId="3" fontId="36" fillId="0" borderId="21" xfId="0" applyNumberFormat="1" applyFont="1" applyBorder="1" applyAlignment="1">
      <alignment/>
    </xf>
    <xf numFmtId="4" fontId="37" fillId="0" borderId="22" xfId="0" applyNumberFormat="1" applyFont="1" applyBorder="1" applyAlignment="1">
      <alignment/>
    </xf>
    <xf numFmtId="4" fontId="37" fillId="0" borderId="23" xfId="0" applyNumberFormat="1" applyFont="1" applyBorder="1" applyAlignment="1">
      <alignment/>
    </xf>
    <xf numFmtId="0" fontId="36" fillId="0" borderId="21" xfId="0" applyFont="1" applyBorder="1" applyAlignment="1">
      <alignment/>
    </xf>
    <xf numFmtId="4" fontId="26" fillId="0" borderId="22" xfId="0" applyNumberFormat="1" applyFont="1" applyBorder="1" applyAlignment="1">
      <alignment/>
    </xf>
    <xf numFmtId="4" fontId="37" fillId="0" borderId="21" xfId="0" applyNumberFormat="1" applyFont="1" applyBorder="1" applyAlignment="1">
      <alignment/>
    </xf>
    <xf numFmtId="0" fontId="25" fillId="0" borderId="24" xfId="0" applyFont="1" applyBorder="1" applyAlignment="1">
      <alignment/>
    </xf>
    <xf numFmtId="3" fontId="16" fillId="0" borderId="25" xfId="0" applyNumberFormat="1" applyFont="1" applyBorder="1" applyAlignment="1">
      <alignment/>
    </xf>
    <xf numFmtId="4" fontId="37" fillId="0" borderId="26" xfId="0" applyNumberFormat="1" applyFont="1" applyBorder="1" applyAlignment="1">
      <alignment/>
    </xf>
    <xf numFmtId="4" fontId="37" fillId="0" borderId="25" xfId="0" applyNumberFormat="1" applyFont="1" applyBorder="1" applyAlignment="1">
      <alignment/>
    </xf>
    <xf numFmtId="4" fontId="37" fillId="0" borderId="27" xfId="0" applyNumberFormat="1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9" fontId="26" fillId="0" borderId="30" xfId="19" applyFont="1" applyBorder="1" applyAlignment="1">
      <alignment/>
    </xf>
    <xf numFmtId="9" fontId="26" fillId="0" borderId="30" xfId="19" applyNumberFormat="1" applyFont="1" applyBorder="1" applyAlignment="1">
      <alignment/>
    </xf>
    <xf numFmtId="9" fontId="26" fillId="0" borderId="31" xfId="19" applyFont="1" applyBorder="1" applyAlignment="1">
      <alignment/>
    </xf>
    <xf numFmtId="0" fontId="37" fillId="0" borderId="0" xfId="0" applyFont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9" fontId="26" fillId="0" borderId="0" xfId="19" applyFont="1" applyBorder="1" applyAlignment="1">
      <alignment/>
    </xf>
    <xf numFmtId="4" fontId="37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4" fontId="16" fillId="0" borderId="0" xfId="0" applyNumberFormat="1" applyFont="1" applyAlignment="1">
      <alignment/>
    </xf>
    <xf numFmtId="171" fontId="37" fillId="0" borderId="0" xfId="15" applyFont="1" applyAlignment="1">
      <alignment/>
    </xf>
    <xf numFmtId="17" fontId="35" fillId="0" borderId="0" xfId="0" applyNumberFormat="1" applyFont="1" applyAlignment="1">
      <alignment/>
    </xf>
    <xf numFmtId="3" fontId="37" fillId="0" borderId="21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3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25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3" fontId="36" fillId="0" borderId="22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0" fontId="42" fillId="0" borderId="0" xfId="0" applyFont="1" applyAlignment="1">
      <alignment/>
    </xf>
    <xf numFmtId="17" fontId="43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0" fontId="16" fillId="0" borderId="32" xfId="0" applyFont="1" applyBorder="1" applyAlignment="1">
      <alignment horizontal="center"/>
    </xf>
    <xf numFmtId="3" fontId="37" fillId="0" borderId="22" xfId="0" applyNumberFormat="1" applyFont="1" applyBorder="1" applyAlignment="1">
      <alignment/>
    </xf>
    <xf numFmtId="3" fontId="16" fillId="0" borderId="25" xfId="15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36" fillId="0" borderId="21" xfId="0" applyNumberFormat="1" applyFont="1" applyFill="1" applyBorder="1" applyAlignment="1">
      <alignment/>
    </xf>
    <xf numFmtId="4" fontId="37" fillId="0" borderId="22" xfId="0" applyNumberFormat="1" applyFont="1" applyFill="1" applyBorder="1" applyAlignment="1">
      <alignment/>
    </xf>
    <xf numFmtId="3" fontId="37" fillId="0" borderId="21" xfId="0" applyNumberFormat="1" applyFont="1" applyFill="1" applyBorder="1" applyAlignment="1">
      <alignment/>
    </xf>
    <xf numFmtId="4" fontId="37" fillId="0" borderId="21" xfId="0" applyNumberFormat="1" applyFont="1" applyFill="1" applyBorder="1" applyAlignment="1">
      <alignment/>
    </xf>
    <xf numFmtId="0" fontId="36" fillId="0" borderId="21" xfId="0" applyFont="1" applyFill="1" applyBorder="1" applyAlignment="1">
      <alignment/>
    </xf>
    <xf numFmtId="4" fontId="36" fillId="0" borderId="23" xfId="0" applyNumberFormat="1" applyFont="1" applyBorder="1" applyAlignment="1">
      <alignment/>
    </xf>
    <xf numFmtId="17" fontId="26" fillId="0" borderId="0" xfId="0" applyNumberFormat="1" applyFont="1" applyAlignment="1">
      <alignment/>
    </xf>
    <xf numFmtId="0" fontId="37" fillId="0" borderId="20" xfId="0" applyFont="1" applyBorder="1" applyAlignment="1">
      <alignment/>
    </xf>
    <xf numFmtId="4" fontId="37" fillId="0" borderId="33" xfId="0" applyNumberFormat="1" applyFont="1" applyBorder="1" applyAlignment="1">
      <alignment/>
    </xf>
    <xf numFmtId="0" fontId="25" fillId="0" borderId="25" xfId="0" applyFont="1" applyBorder="1" applyAlignment="1">
      <alignment/>
    </xf>
    <xf numFmtId="9" fontId="26" fillId="0" borderId="26" xfId="19" applyFont="1" applyBorder="1" applyAlignment="1">
      <alignment/>
    </xf>
    <xf numFmtId="9" fontId="26" fillId="0" borderId="34" xfId="19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10" fontId="26" fillId="0" borderId="26" xfId="19" applyNumberFormat="1" applyFont="1" applyBorder="1" applyAlignment="1">
      <alignment/>
    </xf>
    <xf numFmtId="4" fontId="37" fillId="0" borderId="32" xfId="0" applyNumberFormat="1" applyFont="1" applyBorder="1" applyAlignment="1">
      <alignment/>
    </xf>
    <xf numFmtId="0" fontId="44" fillId="0" borderId="0" xfId="0" applyFont="1" applyAlignment="1">
      <alignment/>
    </xf>
    <xf numFmtId="0" fontId="31" fillId="0" borderId="0" xfId="0" applyFont="1" applyFill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3" fontId="25" fillId="0" borderId="25" xfId="0" applyNumberFormat="1" applyFont="1" applyBorder="1" applyAlignment="1">
      <alignment/>
    </xf>
    <xf numFmtId="3" fontId="36" fillId="0" borderId="22" xfId="0" applyNumberFormat="1" applyFont="1" applyFill="1" applyBorder="1" applyAlignment="1">
      <alignment/>
    </xf>
    <xf numFmtId="4" fontId="37" fillId="0" borderId="35" xfId="0" applyNumberFormat="1" applyFont="1" applyBorder="1" applyAlignment="1">
      <alignment/>
    </xf>
    <xf numFmtId="10" fontId="37" fillId="0" borderId="35" xfId="0" applyNumberFormat="1" applyFont="1" applyBorder="1" applyAlignment="1">
      <alignment/>
    </xf>
    <xf numFmtId="4" fontId="37" fillId="0" borderId="36" xfId="0" applyNumberFormat="1" applyFont="1" applyBorder="1" applyAlignment="1">
      <alignment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26" fillId="0" borderId="41" xfId="0" applyFont="1" applyBorder="1" applyAlignment="1">
      <alignment/>
    </xf>
    <xf numFmtId="0" fontId="36" fillId="0" borderId="42" xfId="0" applyFont="1" applyBorder="1" applyAlignment="1">
      <alignment/>
    </xf>
    <xf numFmtId="4" fontId="37" fillId="0" borderId="43" xfId="0" applyNumberFormat="1" applyFont="1" applyBorder="1" applyAlignment="1">
      <alignment/>
    </xf>
    <xf numFmtId="4" fontId="37" fillId="0" borderId="44" xfId="0" applyNumberFormat="1" applyFont="1" applyBorder="1" applyAlignment="1">
      <alignment/>
    </xf>
    <xf numFmtId="0" fontId="25" fillId="0" borderId="45" xfId="0" applyFont="1" applyBorder="1" applyAlignment="1">
      <alignment/>
    </xf>
    <xf numFmtId="9" fontId="26" fillId="0" borderId="46" xfId="19" applyFont="1" applyBorder="1" applyAlignment="1">
      <alignment/>
    </xf>
    <xf numFmtId="9" fontId="26" fillId="0" borderId="47" xfId="19" applyFont="1" applyBorder="1" applyAlignment="1">
      <alignment/>
    </xf>
    <xf numFmtId="3" fontId="16" fillId="0" borderId="48" xfId="0" applyNumberFormat="1" applyFont="1" applyBorder="1" applyAlignment="1">
      <alignment/>
    </xf>
    <xf numFmtId="4" fontId="37" fillId="0" borderId="49" xfId="0" applyNumberFormat="1" applyFont="1" applyBorder="1" applyAlignment="1">
      <alignment/>
    </xf>
    <xf numFmtId="4" fontId="37" fillId="0" borderId="48" xfId="0" applyNumberFormat="1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/>
    </xf>
    <xf numFmtId="0" fontId="16" fillId="0" borderId="53" xfId="0" applyFont="1" applyBorder="1" applyAlignment="1">
      <alignment/>
    </xf>
    <xf numFmtId="17" fontId="45" fillId="0" borderId="0" xfId="0" applyNumberFormat="1" applyFont="1" applyFill="1" applyAlignment="1">
      <alignment horizontal="center"/>
    </xf>
    <xf numFmtId="17" fontId="46" fillId="0" borderId="0" xfId="0" applyNumberFormat="1" applyFont="1" applyAlignment="1">
      <alignment/>
    </xf>
    <xf numFmtId="0" fontId="16" fillId="0" borderId="54" xfId="0" applyFont="1" applyBorder="1" applyAlignment="1">
      <alignment horizontal="center"/>
    </xf>
    <xf numFmtId="17" fontId="45" fillId="0" borderId="0" xfId="0" applyNumberFormat="1" applyFont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2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6" borderId="0" xfId="0" applyFont="1" applyFill="1" applyAlignment="1">
      <alignment horizontal="center"/>
    </xf>
    <xf numFmtId="0" fontId="27" fillId="7" borderId="0" xfId="0" applyFont="1" applyFill="1" applyAlignment="1">
      <alignment horizontal="center"/>
    </xf>
    <xf numFmtId="0" fontId="27" fillId="8" borderId="0" xfId="0" applyFont="1" applyFill="1" applyAlignment="1">
      <alignment horizontal="center"/>
    </xf>
    <xf numFmtId="4" fontId="37" fillId="0" borderId="55" xfId="0" applyNumberFormat="1" applyFont="1" applyBorder="1" applyAlignment="1">
      <alignment/>
    </xf>
    <xf numFmtId="4" fontId="37" fillId="0" borderId="56" xfId="0" applyNumberFormat="1" applyFont="1" applyBorder="1" applyAlignment="1">
      <alignment/>
    </xf>
    <xf numFmtId="4" fontId="37" fillId="0" borderId="57" xfId="0" applyNumberFormat="1" applyFont="1" applyBorder="1" applyAlignment="1">
      <alignment/>
    </xf>
    <xf numFmtId="10" fontId="26" fillId="0" borderId="30" xfId="19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10" fontId="26" fillId="0" borderId="58" xfId="19" applyNumberFormat="1" applyFont="1" applyBorder="1" applyAlignment="1">
      <alignment/>
    </xf>
    <xf numFmtId="9" fontId="26" fillId="0" borderId="59" xfId="19" applyFont="1" applyBorder="1" applyAlignment="1">
      <alignment/>
    </xf>
    <xf numFmtId="10" fontId="26" fillId="0" borderId="46" xfId="19" applyNumberFormat="1" applyFont="1" applyBorder="1" applyAlignment="1">
      <alignment/>
    </xf>
    <xf numFmtId="10" fontId="26" fillId="0" borderId="60" xfId="19" applyNumberFormat="1" applyFont="1" applyBorder="1" applyAlignment="1">
      <alignment/>
    </xf>
    <xf numFmtId="10" fontId="26" fillId="0" borderId="61" xfId="19" applyNumberFormat="1" applyFont="1" applyBorder="1" applyAlignment="1">
      <alignment/>
    </xf>
    <xf numFmtId="0" fontId="16" fillId="0" borderId="0" xfId="0" applyFont="1" applyAlignment="1">
      <alignment horizontal="right"/>
    </xf>
    <xf numFmtId="10" fontId="26" fillId="0" borderId="31" xfId="19" applyNumberFormat="1" applyFont="1" applyBorder="1" applyAlignment="1">
      <alignment/>
    </xf>
    <xf numFmtId="10" fontId="26" fillId="0" borderId="34" xfId="19" applyNumberFormat="1" applyFont="1" applyBorder="1" applyAlignment="1">
      <alignment/>
    </xf>
    <xf numFmtId="10" fontId="26" fillId="0" borderId="62" xfId="19" applyNumberFormat="1" applyFont="1" applyBorder="1" applyAlignment="1">
      <alignment/>
    </xf>
    <xf numFmtId="17" fontId="60" fillId="0" borderId="0" xfId="0" applyNumberFormat="1" applyFont="1" applyFill="1" applyAlignment="1">
      <alignment horizontal="center"/>
    </xf>
    <xf numFmtId="0" fontId="27" fillId="9" borderId="0" xfId="0" applyFont="1" applyFill="1" applyAlignment="1">
      <alignment horizontal="center"/>
    </xf>
    <xf numFmtId="4" fontId="37" fillId="0" borderId="63" xfId="0" applyNumberFormat="1" applyFont="1" applyBorder="1" applyAlignment="1">
      <alignment/>
    </xf>
    <xf numFmtId="0" fontId="16" fillId="10" borderId="64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6" fillId="10" borderId="65" xfId="0" applyFont="1" applyFill="1" applyBorder="1" applyAlignment="1">
      <alignment horizontal="center"/>
    </xf>
    <xf numFmtId="0" fontId="16" fillId="10" borderId="66" xfId="0" applyFont="1" applyFill="1" applyBorder="1" applyAlignment="1">
      <alignment horizontal="center"/>
    </xf>
    <xf numFmtId="0" fontId="64" fillId="11" borderId="67" xfId="0" applyFont="1" applyFill="1" applyBorder="1" applyAlignment="1">
      <alignment/>
    </xf>
    <xf numFmtId="2" fontId="26" fillId="0" borderId="0" xfId="0" applyNumberFormat="1" applyFont="1" applyAlignment="1">
      <alignment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3" fontId="34" fillId="0" borderId="0" xfId="0" applyNumberFormat="1" applyFont="1" applyAlignment="1">
      <alignment/>
    </xf>
    <xf numFmtId="0" fontId="46" fillId="0" borderId="0" xfId="0" applyFont="1" applyFill="1" applyAlignment="1">
      <alignment horizontal="center" wrapText="1"/>
    </xf>
    <xf numFmtId="0" fontId="16" fillId="0" borderId="0" xfId="0" applyFont="1" applyAlignment="1">
      <alignment horizontal="right" vertical="center"/>
    </xf>
    <xf numFmtId="0" fontId="61" fillId="0" borderId="0" xfId="0" applyFont="1" applyFill="1" applyAlignment="1">
      <alignment horizontal="center" wrapText="1"/>
    </xf>
    <xf numFmtId="0" fontId="6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49" fillId="0" borderId="0" xfId="0" applyFont="1" applyFill="1" applyAlignment="1">
      <alignment horizontal="center" wrapText="1"/>
    </xf>
    <xf numFmtId="0" fontId="16" fillId="0" borderId="69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Fill="1" applyAlignment="1">
      <alignment horizontal="center" wrapText="1"/>
    </xf>
    <xf numFmtId="0" fontId="6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2" fillId="0" borderId="0" xfId="0" applyFont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62" fillId="0" borderId="0" xfId="0" applyFont="1" applyFill="1" applyAlignment="1">
      <alignment horizontal="center" wrapText="1"/>
    </xf>
    <xf numFmtId="0" fontId="62" fillId="0" borderId="0" xfId="0" applyFont="1" applyAlignment="1">
      <alignment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12" borderId="71" xfId="0" applyFont="1" applyFill="1" applyBorder="1" applyAlignment="1">
      <alignment horizontal="center"/>
    </xf>
    <xf numFmtId="0" fontId="16" fillId="12" borderId="72" xfId="0" applyFont="1" applyFill="1" applyBorder="1" applyAlignment="1">
      <alignment horizontal="center"/>
    </xf>
    <xf numFmtId="0" fontId="16" fillId="12" borderId="7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4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INT!$A$46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303048"/>
                </a:gs>
                <a:gs pos="50000">
                  <a:srgbClr val="666699"/>
                </a:gs>
                <a:gs pos="100000">
                  <a:srgbClr val="30304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INT!$A$47:$A$53</c:f>
              <c:numCache/>
            </c:numRef>
          </c:val>
        </c:ser>
        <c:ser>
          <c:idx val="1"/>
          <c:order val="1"/>
          <c:tx>
            <c:strRef>
              <c:f>INT!$B$46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81A1A1"/>
                </a:gs>
                <a:gs pos="50000">
                  <a:srgbClr val="CCFFFF"/>
                </a:gs>
                <a:gs pos="100000">
                  <a:srgbClr val="81A1A1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INT!$B$47:$B$53</c:f>
              <c:numCache/>
            </c:numRef>
          </c:val>
        </c:ser>
        <c:axId val="54800021"/>
        <c:axId val="23438142"/>
      </c:bar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/>
            </a:pPr>
          </a:p>
        </c:txPr>
        <c:crossAx val="23438142"/>
        <c:crosses val="autoZero"/>
        <c:auto val="1"/>
        <c:lblOffset val="100"/>
        <c:noMultiLvlLbl val="0"/>
      </c:catAx>
      <c:valAx>
        <c:axId val="23438142"/>
        <c:scaling>
          <c:orientation val="minMax"/>
          <c:max val="19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5480002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"/>
          <c:y val="0.9365"/>
          <c:w val="0.48325"/>
          <c:h val="0.05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05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61"/>
          <c:w val="0.982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CULTURA!$A$51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CULTURA!$C$52:$C$58</c:f>
              <c:strCache/>
            </c:strRef>
          </c:cat>
          <c:val>
            <c:numRef>
              <c:f>CULTURA!$A$52:$A$58</c:f>
              <c:numCache/>
            </c:numRef>
          </c:val>
        </c:ser>
        <c:ser>
          <c:idx val="1"/>
          <c:order val="1"/>
          <c:tx>
            <c:strRef>
              <c:f>CULTURA!$B$51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CULTURA!$C$52:$C$58</c:f>
              <c:strCache/>
            </c:strRef>
          </c:cat>
          <c:val>
            <c:numRef>
              <c:f>CULTURA!$B$52:$B$58</c:f>
              <c:numCache/>
            </c:numRef>
          </c:val>
        </c:ser>
        <c:axId val="25722495"/>
        <c:axId val="30175864"/>
      </c:barChart>
      <c:catAx>
        <c:axId val="2572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30175864"/>
        <c:crosses val="autoZero"/>
        <c:auto val="1"/>
        <c:lblOffset val="100"/>
        <c:noMultiLvlLbl val="0"/>
      </c:catAx>
      <c:valAx>
        <c:axId val="30175864"/>
        <c:scaling>
          <c:orientation val="minMax"/>
          <c:max val="17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/>
            </a:pPr>
          </a:p>
        </c:txPr>
        <c:crossAx val="25722495"/>
        <c:crossesAt val="1"/>
        <c:crossBetween val="between"/>
        <c:dispUnits/>
        <c:majorUnit val="2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575"/>
          <c:y val="0.93175"/>
          <c:w val="0.50525"/>
          <c:h val="0.055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92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DEPORTES!$A$47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DEPORTES!$A$48:$A$54</c:f>
              <c:numCache/>
            </c:numRef>
          </c:val>
        </c:ser>
        <c:ser>
          <c:idx val="1"/>
          <c:order val="1"/>
          <c:tx>
            <c:strRef>
              <c:f>DEPORTES!$B$47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DEPORTES!$B$48:$B$54</c:f>
              <c:numCache/>
            </c:numRef>
          </c:val>
        </c:ser>
        <c:axId val="3147321"/>
        <c:axId val="28325890"/>
      </c:barChart>
      <c:catAx>
        <c:axId val="314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28325890"/>
        <c:crosses val="autoZero"/>
        <c:auto val="1"/>
        <c:lblOffset val="100"/>
        <c:noMultiLvlLbl val="0"/>
      </c:catAx>
      <c:valAx>
        <c:axId val="28325890"/>
        <c:scaling>
          <c:orientation val="minMax"/>
          <c:max val="16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3147321"/>
        <c:crossesAt val="1"/>
        <c:crossBetween val="between"/>
        <c:dispUnits/>
        <c:majorUnit val="1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"/>
          <c:y val="0.94525"/>
          <c:w val="0.48875"/>
          <c:h val="0.046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Garamond"/>
                <a:ea typeface="Garamond"/>
                <a:cs typeface="Garamond"/>
              </a:rPr>
              <a:t>Gasto por Área y Saldo de Crédito Presupuestario</a:t>
            </a:r>
          </a:p>
        </c:rich>
      </c:tx>
      <c:layout>
        <c:manualLayout>
          <c:xMode val="factor"/>
          <c:yMode val="factor"/>
          <c:x val="0.0015"/>
          <c:y val="-0.01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"/>
          <c:w val="1"/>
          <c:h val="0.851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I'!$E$61:$E$71</c:f>
              <c:numCache/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I'!$F$61:$F$71</c:f>
              <c:numCache/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I'!$G$61:$G$71</c:f>
              <c:numCache/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I'!$H$61:$H$71</c:f>
              <c:numCache/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I'!$I$61:$I$71</c:f>
              <c:numCache/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I'!$J$61:$J$71</c:f>
              <c:numCache/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I'!$K$61:$K$71</c:f>
              <c:numCache/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I'!$L$61:$L$71</c:f>
              <c:numCache/>
            </c:numRef>
          </c:val>
          <c:shape val="cylinder"/>
        </c:ser>
        <c:overlap val="100"/>
        <c:shape val="cylinder"/>
        <c:axId val="53606419"/>
        <c:axId val="12695724"/>
      </c:bar3DChart>
      <c:catAx>
        <c:axId val="53606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/>
            </a:pPr>
          </a:p>
        </c:txPr>
        <c:crossAx val="12695724"/>
        <c:crosses val="autoZero"/>
        <c:auto val="1"/>
        <c:lblOffset val="100"/>
        <c:noMultiLvlLbl val="0"/>
      </c:catAx>
      <c:valAx>
        <c:axId val="12695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360641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Garamond"/>
                <a:ea typeface="Garamond"/>
                <a:cs typeface="Garamond"/>
              </a:rPr>
              <a:t>Gasto por Área y Saldo de Crédito Presupuestario</a:t>
            </a:r>
          </a:p>
        </c:rich>
      </c:tx>
      <c:layout>
        <c:manualLayout>
          <c:xMode val="factor"/>
          <c:yMode val="factor"/>
          <c:x val="0.0015"/>
          <c:y val="-0.01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"/>
          <c:w val="1"/>
          <c:h val="0.850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I'!$E$61:$E$71</c:f>
              <c:numCache>
                <c:ptCount val="11"/>
                <c:pt idx="0">
                  <c:v>0.18425554106251124</c:v>
                </c:pt>
                <c:pt idx="1">
                  <c:v>0.33957713459983163</c:v>
                </c:pt>
                <c:pt idx="2">
                  <c:v>0.4217636971821593</c:v>
                </c:pt>
                <c:pt idx="3">
                  <c:v>0.3310192106890562</c:v>
                </c:pt>
                <c:pt idx="4">
                  <c:v>0.11562659642117616</c:v>
                </c:pt>
                <c:pt idx="5">
                  <c:v>0.46311017294140294</c:v>
                </c:pt>
                <c:pt idx="6">
                  <c:v>0.4155256943902324</c:v>
                </c:pt>
                <c:pt idx="7">
                  <c:v>0.4701571996222218</c:v>
                </c:pt>
                <c:pt idx="8">
                  <c:v>0.46545761741632824</c:v>
                </c:pt>
                <c:pt idx="9">
                  <c:v>0.331470743378279</c:v>
                </c:pt>
                <c:pt idx="10">
                  <c:v>0.20516278186154419</c:v>
                </c:pt>
              </c:numCache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I'!$F$61:$F$71</c:f>
              <c:numCache>
                <c:ptCount val="11"/>
                <c:pt idx="0">
                  <c:v>0.004018755884015425</c:v>
                </c:pt>
                <c:pt idx="1">
                  <c:v>0.00969999016715088</c:v>
                </c:pt>
                <c:pt idx="2">
                  <c:v>0.0746267727492774</c:v>
                </c:pt>
                <c:pt idx="3">
                  <c:v>0.005184868184847099</c:v>
                </c:pt>
                <c:pt idx="4">
                  <c:v>0.016159097023169814</c:v>
                </c:pt>
                <c:pt idx="5">
                  <c:v>0.019024753707813095</c:v>
                </c:pt>
                <c:pt idx="6">
                  <c:v>0.011509032147262252</c:v>
                </c:pt>
                <c:pt idx="7">
                  <c:v>0.00021771728163193303</c:v>
                </c:pt>
                <c:pt idx="8">
                  <c:v>0.12433534384443207</c:v>
                </c:pt>
                <c:pt idx="9">
                  <c:v>0.008560943509657233</c:v>
                </c:pt>
                <c:pt idx="10">
                  <c:v>0.007287007049782538</c:v>
                </c:pt>
              </c:numCache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I'!$G$61:$G$71</c:f>
              <c:numCache>
                <c:ptCount val="11"/>
                <c:pt idx="0">
                  <c:v>0.13319941823561898</c:v>
                </c:pt>
                <c:pt idx="1">
                  <c:v>0.1667226218023947</c:v>
                </c:pt>
                <c:pt idx="2">
                  <c:v>0.17275809680123355</c:v>
                </c:pt>
                <c:pt idx="3">
                  <c:v>0.10900687245222024</c:v>
                </c:pt>
                <c:pt idx="4">
                  <c:v>0.045485289277867075</c:v>
                </c:pt>
                <c:pt idx="5">
                  <c:v>0.14692147500526007</c:v>
                </c:pt>
                <c:pt idx="6">
                  <c:v>0.04033341972552265</c:v>
                </c:pt>
                <c:pt idx="7">
                  <c:v>0.08212674501907177</c:v>
                </c:pt>
                <c:pt idx="8">
                  <c:v>0.1470139748540435</c:v>
                </c:pt>
                <c:pt idx="9">
                  <c:v>0.26606914594827963</c:v>
                </c:pt>
                <c:pt idx="10">
                  <c:v>0.1823918800549009</c:v>
                </c:pt>
              </c:numCache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I'!$H$61:$H$71</c:f>
              <c:numCache>
                <c:ptCount val="11"/>
                <c:pt idx="0">
                  <c:v>0.2429768455059902</c:v>
                </c:pt>
                <c:pt idx="1">
                  <c:v>0.076287131282999</c:v>
                </c:pt>
                <c:pt idx="2">
                  <c:v>0.0001013834666176321</c:v>
                </c:pt>
                <c:pt idx="3">
                  <c:v>0.31738944849098066</c:v>
                </c:pt>
                <c:pt idx="4">
                  <c:v>0.000997147301133842</c:v>
                </c:pt>
                <c:pt idx="5">
                  <c:v>0</c:v>
                </c:pt>
                <c:pt idx="6">
                  <c:v>0.10315897515964338</c:v>
                </c:pt>
                <c:pt idx="7">
                  <c:v>0</c:v>
                </c:pt>
                <c:pt idx="8">
                  <c:v>0.004259355530422494</c:v>
                </c:pt>
                <c:pt idx="9">
                  <c:v>0.0671258939410469</c:v>
                </c:pt>
                <c:pt idx="10">
                  <c:v>0.20287289209417958</c:v>
                </c:pt>
              </c:numCache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I'!$I$61:$I$71</c:f>
              <c:numCache>
                <c:ptCount val="11"/>
                <c:pt idx="0">
                  <c:v>0.0015834048377918791</c:v>
                </c:pt>
                <c:pt idx="1">
                  <c:v>0.015267557653038149</c:v>
                </c:pt>
                <c:pt idx="2">
                  <c:v>0.02247680223243397</c:v>
                </c:pt>
                <c:pt idx="3">
                  <c:v>0.0032693577825834907</c:v>
                </c:pt>
                <c:pt idx="4">
                  <c:v>0.008639021388185994</c:v>
                </c:pt>
                <c:pt idx="5">
                  <c:v>0.004673812690935956</c:v>
                </c:pt>
                <c:pt idx="6">
                  <c:v>0.002005608206217115</c:v>
                </c:pt>
                <c:pt idx="7">
                  <c:v>0.017795612523476678</c:v>
                </c:pt>
                <c:pt idx="8">
                  <c:v>0.006903340559422768</c:v>
                </c:pt>
                <c:pt idx="9">
                  <c:v>0.0003660022701054044</c:v>
                </c:pt>
                <c:pt idx="10">
                  <c:v>0.0006917359891609018</c:v>
                </c:pt>
              </c:numCache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I'!$J$61:$J$71</c:f>
              <c:numCache>
                <c:ptCount val="11"/>
                <c:pt idx="0">
                  <c:v>0.009686168471295482</c:v>
                </c:pt>
                <c:pt idx="1">
                  <c:v>0.017388316481312244</c:v>
                </c:pt>
                <c:pt idx="2">
                  <c:v>0.00026355359720049053</c:v>
                </c:pt>
                <c:pt idx="3">
                  <c:v>0.0008840296434256486</c:v>
                </c:pt>
                <c:pt idx="4">
                  <c:v>0.7097578674539697</c:v>
                </c:pt>
                <c:pt idx="5">
                  <c:v>0.0007764256856987195</c:v>
                </c:pt>
                <c:pt idx="6">
                  <c:v>0</c:v>
                </c:pt>
                <c:pt idx="7">
                  <c:v>0</c:v>
                </c:pt>
                <c:pt idx="8">
                  <c:v>0.03934456447260182</c:v>
                </c:pt>
                <c:pt idx="9">
                  <c:v>0.009328763721023078</c:v>
                </c:pt>
                <c:pt idx="10">
                  <c:v>0.0027830158336043707</c:v>
                </c:pt>
              </c:numCache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I'!$K$61:$K$71</c:f>
              <c:numCache>
                <c:ptCount val="11"/>
                <c:pt idx="0">
                  <c:v>0.03237548471810345</c:v>
                </c:pt>
                <c:pt idx="1">
                  <c:v>0.03194726570700506</c:v>
                </c:pt>
                <c:pt idx="2">
                  <c:v>0.050188032449065646</c:v>
                </c:pt>
                <c:pt idx="3">
                  <c:v>0.03801736064675514</c:v>
                </c:pt>
                <c:pt idx="4">
                  <c:v>0.01967038195757868</c:v>
                </c:pt>
                <c:pt idx="5">
                  <c:v>0.05036091590308131</c:v>
                </c:pt>
                <c:pt idx="6">
                  <c:v>0.03422557729238552</c:v>
                </c:pt>
                <c:pt idx="7">
                  <c:v>0.041700690370313</c:v>
                </c:pt>
                <c:pt idx="8">
                  <c:v>0.0432010211717277</c:v>
                </c:pt>
                <c:pt idx="9">
                  <c:v>0.03597962998210377</c:v>
                </c:pt>
                <c:pt idx="10">
                  <c:v>0.03327735630850228</c:v>
                </c:pt>
              </c:numCache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I'!$L$61:$L$71</c:f>
              <c:numCache>
                <c:ptCount val="11"/>
                <c:pt idx="0">
                  <c:v>0.3919043812846733</c:v>
                </c:pt>
                <c:pt idx="1">
                  <c:v>0.34310998230626827</c:v>
                </c:pt>
                <c:pt idx="2">
                  <c:v>0.257821661522012</c:v>
                </c:pt>
                <c:pt idx="3">
                  <c:v>0.19522885211013155</c:v>
                </c:pt>
                <c:pt idx="4">
                  <c:v>0.08366459917691871</c:v>
                </c:pt>
                <c:pt idx="5">
                  <c:v>0.3151324440658079</c:v>
                </c:pt>
                <c:pt idx="6">
                  <c:v>0.39324169307873663</c:v>
                </c:pt>
                <c:pt idx="7">
                  <c:v>0.38800203518328474</c:v>
                </c:pt>
                <c:pt idx="8">
                  <c:v>0.16948478215102125</c:v>
                </c:pt>
                <c:pt idx="9">
                  <c:v>0.2810988772495051</c:v>
                </c:pt>
                <c:pt idx="10">
                  <c:v>0.3655333308083253</c:v>
                </c:pt>
              </c:numCache>
            </c:numRef>
          </c:val>
          <c:shape val="cylinder"/>
        </c:ser>
        <c:overlap val="100"/>
        <c:shape val="cylinder"/>
        <c:axId val="47152653"/>
        <c:axId val="21720694"/>
      </c:bar3DChart>
      <c:catAx>
        <c:axId val="4715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/>
            </a:pPr>
          </a:p>
        </c:txPr>
        <c:crossAx val="21720694"/>
        <c:crosses val="autoZero"/>
        <c:auto val="1"/>
        <c:lblOffset val="100"/>
        <c:noMultiLvlLbl val="0"/>
      </c:catAx>
      <c:valAx>
        <c:axId val="21720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71526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325"/>
          <c:w val="0.984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GOB!$A$51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GOB!$C$52:$C$58</c:f>
              <c:strCache/>
            </c:strRef>
          </c:cat>
          <c:val>
            <c:numRef>
              <c:f>GOB!$A$52:$A$58</c:f>
              <c:numCache/>
            </c:numRef>
          </c:val>
        </c:ser>
        <c:ser>
          <c:idx val="1"/>
          <c:order val="1"/>
          <c:tx>
            <c:strRef>
              <c:f>GOB!$B$51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GOB!$C$52:$C$58</c:f>
              <c:strCache/>
            </c:strRef>
          </c:cat>
          <c:val>
            <c:numRef>
              <c:f>GOB!$B$52:$B$58</c:f>
              <c:numCache/>
            </c:numRef>
          </c:val>
        </c:ser>
        <c:axId val="9616687"/>
        <c:axId val="19441320"/>
      </c:barChart>
      <c:catAx>
        <c:axId val="961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1" i="0" u="none" baseline="0"/>
            </a:pPr>
          </a:p>
        </c:txPr>
        <c:crossAx val="19441320"/>
        <c:crosses val="autoZero"/>
        <c:auto val="1"/>
        <c:lblOffset val="100"/>
        <c:noMultiLvlLbl val="0"/>
      </c:catAx>
      <c:valAx>
        <c:axId val="19441320"/>
        <c:scaling>
          <c:orientation val="minMax"/>
          <c:max val="50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/>
            </a:pPr>
          </a:p>
        </c:txPr>
        <c:crossAx val="961668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"/>
          <c:y val="0.932"/>
          <c:w val="0.5065"/>
          <c:h val="0.05875"/>
        </c:manualLayout>
      </c:layout>
      <c:overlay val="0"/>
      <c:txPr>
        <a:bodyPr vert="horz" rot="0"/>
        <a:lstStyle/>
        <a:p>
          <a:pPr>
            <a:defRPr lang="en-US" cap="none" sz="9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"/>
          <c:w val="0.994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SEH!$A$48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SEH!$A$49:$A$55</c:f>
              <c:numCache/>
            </c:numRef>
          </c:val>
        </c:ser>
        <c:ser>
          <c:idx val="1"/>
          <c:order val="1"/>
          <c:tx>
            <c:strRef>
              <c:f>SEH!$B$48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SEH!$B$49:$B$55</c:f>
              <c:numCache/>
            </c:numRef>
          </c:val>
        </c:ser>
        <c:axId val="40754153"/>
        <c:axId val="31243058"/>
      </c:barChart>
      <c:catAx>
        <c:axId val="4075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31243058"/>
        <c:crosses val="autoZero"/>
        <c:auto val="1"/>
        <c:lblOffset val="100"/>
        <c:noMultiLvlLbl val="0"/>
      </c:catAx>
      <c:valAx>
        <c:axId val="31243058"/>
        <c:scaling>
          <c:orientation val="minMax"/>
          <c:max val="47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1" i="0" u="none" baseline="0"/>
            </a:pPr>
          </a:p>
        </c:txPr>
        <c:crossAx val="40754153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5F5F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"/>
          <c:y val="0.93175"/>
          <c:w val="0.4705"/>
          <c:h val="0.061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96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SAS!$A$48:$A$54</c:f>
              <c:numCache/>
            </c:numRef>
          </c:val>
        </c:ser>
        <c:ser>
          <c:idx val="1"/>
          <c:order val="1"/>
          <c:tx>
            <c:strRef>
              <c:f>SAS!$B$47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SAS!$B$48:$B$54</c:f>
              <c:numCache/>
            </c:numRef>
          </c:val>
        </c:ser>
        <c:axId val="12752067"/>
        <c:axId val="47659740"/>
      </c:barChart>
      <c:catAx>
        <c:axId val="1275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47659740"/>
        <c:crosses val="autoZero"/>
        <c:auto val="1"/>
        <c:lblOffset val="100"/>
        <c:noMultiLvlLbl val="0"/>
      </c:catAx>
      <c:valAx>
        <c:axId val="47659740"/>
        <c:scaling>
          <c:orientation val="minMax"/>
          <c:max val="87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1" i="0" u="none" baseline="0"/>
            </a:pPr>
          </a:p>
        </c:txPr>
        <c:crossAx val="12752067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25"/>
          <c:y val="0.94025"/>
          <c:w val="0.518"/>
          <c:h val="0.048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94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SOP!$A$50:$A$56</c:f>
              <c:numCache/>
            </c:numRef>
          </c:val>
        </c:ser>
        <c:ser>
          <c:idx val="1"/>
          <c:order val="1"/>
          <c:tx>
            <c:strRef>
              <c:f>SOP!$B$49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SOP!$B$50:$B$56</c:f>
              <c:numCache/>
            </c:numRef>
          </c:val>
        </c:ser>
        <c:gapWidth val="100"/>
        <c:axId val="26284477"/>
        <c:axId val="35233702"/>
      </c:bar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1" i="0" u="none" baseline="0"/>
            </a:pPr>
          </a:p>
        </c:txPr>
        <c:crossAx val="35233702"/>
        <c:crosses val="autoZero"/>
        <c:auto val="1"/>
        <c:lblOffset val="100"/>
        <c:noMultiLvlLbl val="0"/>
      </c:catAx>
      <c:valAx>
        <c:axId val="35233702"/>
        <c:scaling>
          <c:orientation val="minMax"/>
          <c:max val="160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/>
            </a:pPr>
          </a:p>
        </c:txPr>
        <c:crossAx val="26284477"/>
        <c:crossesAt val="1"/>
        <c:crossBetween val="between"/>
        <c:dispUnits/>
        <c:majorUnit val="100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"/>
          <c:y val="0.9385"/>
          <c:w val="0.5265"/>
          <c:h val="0.052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SFOI!$A$45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2F2F46"/>
                  </a:gs>
                  <a:gs pos="50000">
                    <a:srgbClr val="666699"/>
                  </a:gs>
                  <a:gs pos="100000">
                    <a:srgbClr val="2F2F46"/>
                  </a:gs>
                </a:gsLst>
                <a:lin ang="0" scaled="1"/>
              </a:gradFill>
            </c:spPr>
          </c:dPt>
          <c:cat>
            <c:strRef>
              <c:f>SFOI!$C$46:$C$52</c:f>
              <c:strCache/>
            </c:strRef>
          </c:cat>
          <c:val>
            <c:numRef>
              <c:f>SFOI!$A$46:$A$52</c:f>
              <c:numCache/>
            </c:numRef>
          </c:val>
        </c:ser>
        <c:ser>
          <c:idx val="1"/>
          <c:order val="1"/>
          <c:tx>
            <c:strRef>
              <c:f>SFOI!$B$45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SFOI!$C$46:$C$52</c:f>
              <c:strCache/>
            </c:strRef>
          </c:cat>
          <c:val>
            <c:numRef>
              <c:f>SFOI!$B$46:$B$52</c:f>
              <c:numCache/>
            </c:numRef>
          </c:val>
        </c:ser>
        <c:axId val="48667863"/>
        <c:axId val="35357584"/>
      </c:barChart>
      <c:catAx>
        <c:axId val="4866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35357584"/>
        <c:crosses val="autoZero"/>
        <c:auto val="1"/>
        <c:lblOffset val="100"/>
        <c:noMultiLvlLbl val="0"/>
      </c:catAx>
      <c:valAx>
        <c:axId val="35357584"/>
        <c:scaling>
          <c:orientation val="minMax"/>
          <c:max val="94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/>
            </a:pPr>
          </a:p>
        </c:txPr>
        <c:crossAx val="48667863"/>
        <c:crossesAt val="1"/>
        <c:crossBetween val="between"/>
        <c:dispUnits/>
        <c:majorUnit val="7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"/>
          <c:y val="0.93425"/>
          <c:w val="0.456"/>
          <c:h val="0.053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9855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'CD'!$A$45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'CD'!$A$46:$A$52</c:f>
              <c:numCache/>
            </c:numRef>
          </c:val>
        </c:ser>
        <c:ser>
          <c:idx val="1"/>
          <c:order val="1"/>
          <c:tx>
            <c:strRef>
              <c:f>'CD'!$B$45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'CD'!$B$46:$B$52</c:f>
              <c:numCache/>
            </c:numRef>
          </c:val>
        </c:ser>
        <c:axId val="49782801"/>
        <c:axId val="45392026"/>
      </c:bar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45392026"/>
        <c:crosses val="autoZero"/>
        <c:auto val="1"/>
        <c:lblOffset val="100"/>
        <c:noMultiLvlLbl val="0"/>
      </c:catAx>
      <c:valAx>
        <c:axId val="45392026"/>
        <c:scaling>
          <c:orientation val="minMax"/>
          <c:max val="11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/>
            </a:pPr>
          </a:p>
        </c:txPr>
        <c:crossAx val="49782801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"/>
          <c:w val="0.5195"/>
          <c:h val="0.060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175"/>
          <c:w val="0.9762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'CM'!$A$48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'CM'!$A$49:$A$53</c:f>
              <c:numCache/>
            </c:numRef>
          </c:val>
        </c:ser>
        <c:ser>
          <c:idx val="1"/>
          <c:order val="1"/>
          <c:tx>
            <c:strRef>
              <c:f>'CM'!$B$48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'CM'!$B$49:$B$53</c:f>
              <c:numCache/>
            </c:numRef>
          </c:val>
        </c:ser>
        <c:axId val="5875051"/>
        <c:axId val="52875460"/>
      </c:barChart>
      <c:catAx>
        <c:axId val="587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52875460"/>
        <c:crosses val="autoZero"/>
        <c:auto val="1"/>
        <c:lblOffset val="100"/>
        <c:noMultiLvlLbl val="0"/>
      </c:catAx>
      <c:valAx>
        <c:axId val="52875460"/>
        <c:scaling>
          <c:orientation val="minMax"/>
          <c:max val="35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5875051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922"/>
          <c:w val="0.61525"/>
          <c:h val="0.06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93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SSP!$A$50:$A$56</c:f>
              <c:numCache/>
            </c:numRef>
          </c:val>
        </c:ser>
        <c:ser>
          <c:idx val="1"/>
          <c:order val="1"/>
          <c:tx>
            <c:strRef>
              <c:f>SSP!$B$49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SSP!$B$50:$B$56</c:f>
              <c:numCache/>
            </c:numRef>
          </c:val>
        </c:ser>
        <c:axId val="6117093"/>
        <c:axId val="55053838"/>
      </c:barChart>
      <c:catAx>
        <c:axId val="611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55053838"/>
        <c:crosses val="autoZero"/>
        <c:auto val="1"/>
        <c:lblOffset val="100"/>
        <c:noMultiLvlLbl val="0"/>
      </c:catAx>
      <c:valAx>
        <c:axId val="55053838"/>
        <c:scaling>
          <c:orientation val="minMax"/>
          <c:max val="153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6117093"/>
        <c:crossesAt val="1"/>
        <c:crossBetween val="between"/>
        <c:dispUnits/>
        <c:majorUnit val="1000000"/>
        <c:minorUnit val="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5"/>
          <c:y val="0.93425"/>
          <c:w val="0.514"/>
          <c:h val="0.05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Garamond"/>
          <a:ea typeface="Garamond"/>
          <a:cs typeface="Garamond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14</xdr:row>
      <xdr:rowOff>180975</xdr:rowOff>
    </xdr:from>
    <xdr:to>
      <xdr:col>12</xdr:col>
      <xdr:colOff>571500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076450" y="3276600"/>
        <a:ext cx="66294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18</xdr:row>
      <xdr:rowOff>57150</xdr:rowOff>
    </xdr:from>
    <xdr:to>
      <xdr:col>13</xdr:col>
      <xdr:colOff>409575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2466975" y="3771900"/>
        <a:ext cx="65722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19050</xdr:rowOff>
    </xdr:from>
    <xdr:to>
      <xdr:col>12</xdr:col>
      <xdr:colOff>561975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1676400" y="2714625"/>
        <a:ext cx="67913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9</xdr:col>
      <xdr:colOff>276225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314325" y="3876675"/>
        <a:ext cx="79724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18</xdr:row>
      <xdr:rowOff>9525</xdr:rowOff>
    </xdr:from>
    <xdr:to>
      <xdr:col>10</xdr:col>
      <xdr:colOff>276225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876300" y="3876675"/>
        <a:ext cx="82296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19</xdr:row>
      <xdr:rowOff>104775</xdr:rowOff>
    </xdr:from>
    <xdr:to>
      <xdr:col>12</xdr:col>
      <xdr:colOff>114300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809750" y="4029075"/>
        <a:ext cx="6629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16</xdr:row>
      <xdr:rowOff>152400</xdr:rowOff>
    </xdr:from>
    <xdr:to>
      <xdr:col>13</xdr:col>
      <xdr:colOff>352425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2143125" y="3657600"/>
        <a:ext cx="67056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15</xdr:row>
      <xdr:rowOff>161925</xdr:rowOff>
    </xdr:from>
    <xdr:to>
      <xdr:col>12</xdr:col>
      <xdr:colOff>371475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2190750" y="3219450"/>
        <a:ext cx="64103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15</xdr:row>
      <xdr:rowOff>171450</xdr:rowOff>
    </xdr:from>
    <xdr:to>
      <xdr:col>12</xdr:col>
      <xdr:colOff>581025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952625" y="3352800"/>
        <a:ext cx="65817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15</xdr:row>
      <xdr:rowOff>47625</xdr:rowOff>
    </xdr:from>
    <xdr:to>
      <xdr:col>12</xdr:col>
      <xdr:colOff>352425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257425" y="3190875"/>
        <a:ext cx="62674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12</xdr:col>
      <xdr:colOff>400050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2133600" y="3133725"/>
        <a:ext cx="61912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12</xdr:col>
      <xdr:colOff>28575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1133475" y="3200400"/>
        <a:ext cx="57054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15</xdr:row>
      <xdr:rowOff>19050</xdr:rowOff>
    </xdr:from>
    <xdr:to>
      <xdr:col>12</xdr:col>
      <xdr:colOff>542925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857375" y="3152775"/>
        <a:ext cx="69246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A10">
      <selection activeCell="P14" sqref="P14"/>
    </sheetView>
  </sheetViews>
  <sheetFormatPr defaultColWidth="11.421875" defaultRowHeight="15"/>
  <cols>
    <col min="1" max="1" width="16.421875" style="1" customWidth="1"/>
    <col min="2" max="2" width="9.140625" style="1" customWidth="1"/>
    <col min="3" max="3" width="12.00390625" style="1" customWidth="1"/>
    <col min="4" max="4" width="7.140625" style="1" customWidth="1"/>
    <col min="5" max="5" width="10.140625" style="1" customWidth="1"/>
    <col min="6" max="6" width="9.00390625" style="1" customWidth="1"/>
    <col min="7" max="7" width="10.7109375" style="1" customWidth="1"/>
    <col min="8" max="8" width="9.28125" style="1" customWidth="1"/>
    <col min="9" max="9" width="12.28125" style="1" customWidth="1"/>
    <col min="10" max="10" width="9.28125" style="1" customWidth="1"/>
    <col min="11" max="11" width="9.421875" style="1" customWidth="1"/>
    <col min="12" max="12" width="7.140625" style="1" customWidth="1"/>
    <col min="13" max="13" width="10.00390625" style="1" customWidth="1"/>
    <col min="14" max="14" width="8.8515625" style="1" customWidth="1"/>
    <col min="15" max="15" width="10.28125" style="1" customWidth="1"/>
    <col min="16" max="16" width="12.421875" style="1" customWidth="1"/>
    <col min="17" max="17" width="12.140625" style="1" customWidth="1"/>
    <col min="18" max="18" width="13.8515625" style="1" bestFit="1" customWidth="1"/>
    <col min="19" max="16384" width="11.421875" style="1" customWidth="1"/>
  </cols>
  <sheetData>
    <row r="2" spans="1:15" ht="18">
      <c r="A2" s="146" t="s">
        <v>0</v>
      </c>
      <c r="B2" s="166" t="s">
        <v>105</v>
      </c>
      <c r="C2" s="166"/>
      <c r="D2" s="167"/>
      <c r="E2" s="167"/>
      <c r="L2" s="165" t="s">
        <v>23</v>
      </c>
      <c r="M2" s="165"/>
      <c r="N2" s="150">
        <v>40756</v>
      </c>
      <c r="O2" s="23"/>
    </row>
    <row r="3" spans="2:5" ht="16.5">
      <c r="B3" s="168"/>
      <c r="C3" s="168"/>
      <c r="E3" s="22"/>
    </row>
    <row r="4" spans="3:5" ht="17.25" thickBot="1">
      <c r="C4" s="24"/>
      <c r="D4" s="24"/>
      <c r="E4" s="22"/>
    </row>
    <row r="5" spans="1:17" ht="18" thickTop="1">
      <c r="A5" s="104"/>
      <c r="B5" s="169" t="s">
        <v>1</v>
      </c>
      <c r="C5" s="170"/>
      <c r="D5" s="169" t="s">
        <v>2</v>
      </c>
      <c r="E5" s="170"/>
      <c r="F5" s="169" t="s">
        <v>3</v>
      </c>
      <c r="G5" s="170"/>
      <c r="H5" s="169" t="s">
        <v>4</v>
      </c>
      <c r="I5" s="170"/>
      <c r="J5" s="169" t="s">
        <v>32</v>
      </c>
      <c r="K5" s="170"/>
      <c r="L5" s="105" t="s">
        <v>86</v>
      </c>
      <c r="M5" s="106"/>
      <c r="N5" s="169" t="s">
        <v>33</v>
      </c>
      <c r="O5" s="170"/>
      <c r="P5" s="107" t="s">
        <v>5</v>
      </c>
      <c r="Q5" s="118" t="s">
        <v>38</v>
      </c>
    </row>
    <row r="6" spans="1:17" ht="17.25">
      <c r="A6" s="108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119" t="s">
        <v>39</v>
      </c>
    </row>
    <row r="7" spans="1:18" ht="17.25">
      <c r="A7" s="109" t="s">
        <v>14</v>
      </c>
      <c r="B7" s="32">
        <v>555511</v>
      </c>
      <c r="C7" s="33">
        <f>5694.52+1160969.74-C9-C11</f>
        <v>350715.83999999997</v>
      </c>
      <c r="D7" s="32">
        <v>14110</v>
      </c>
      <c r="E7" s="33">
        <f>991.96+24453.89-E9-E11</f>
        <v>12455.169999999998</v>
      </c>
      <c r="F7" s="32">
        <f>575832+200000</f>
        <v>775832</v>
      </c>
      <c r="G7" s="33">
        <f>53474.38+789914.1-G9-G11</f>
        <v>582318.55</v>
      </c>
      <c r="H7" s="32">
        <f>1044014+100000+100000</f>
        <v>1244014</v>
      </c>
      <c r="I7" s="33">
        <f>82253.09+1456221.14-I9-I11</f>
        <v>940235.2999999999</v>
      </c>
      <c r="J7" s="32">
        <f>1323500+70000</f>
        <v>1393500</v>
      </c>
      <c r="K7" s="33">
        <f>701.07+9324.69-K9-K11</f>
        <v>3464.42</v>
      </c>
      <c r="L7" s="32">
        <v>0</v>
      </c>
      <c r="M7" s="33">
        <f>61330.62-M11</f>
        <v>46830</v>
      </c>
      <c r="N7" s="32">
        <v>100000</v>
      </c>
      <c r="O7" s="33">
        <f>204994.22-O9-O11</f>
        <v>152010.11000000002</v>
      </c>
      <c r="P7" s="110">
        <f>+O7+K7+I7+G7+E7+C7+M7</f>
        <v>2088029.3900000001</v>
      </c>
      <c r="Q7" s="136">
        <f>+B7+D7+F7+H7+J7+N7+L7-P7</f>
        <v>1994937.6099999999</v>
      </c>
      <c r="R7" s="5"/>
    </row>
    <row r="8" spans="1:17" ht="17.25">
      <c r="A8" s="109"/>
      <c r="B8" s="35"/>
      <c r="C8" s="36"/>
      <c r="D8" s="35"/>
      <c r="E8" s="33"/>
      <c r="F8" s="35"/>
      <c r="G8" s="33"/>
      <c r="H8" s="35"/>
      <c r="I8" s="33"/>
      <c r="J8" s="35"/>
      <c r="K8" s="33"/>
      <c r="L8" s="37"/>
      <c r="M8" s="33"/>
      <c r="N8" s="35"/>
      <c r="O8" s="33"/>
      <c r="P8" s="110"/>
      <c r="Q8" s="137"/>
    </row>
    <row r="9" spans="1:18" ht="17.25">
      <c r="A9" s="109" t="s">
        <v>101</v>
      </c>
      <c r="B9" s="32">
        <v>182173</v>
      </c>
      <c r="C9" s="33">
        <f>1319.15+117266.75</f>
        <v>118585.9</v>
      </c>
      <c r="D9" s="32">
        <v>8477</v>
      </c>
      <c r="E9" s="33">
        <v>2243.66</v>
      </c>
      <c r="F9" s="32">
        <v>66653</v>
      </c>
      <c r="G9" s="33">
        <f>496.13+7700.25</f>
        <v>8196.38</v>
      </c>
      <c r="H9" s="32">
        <v>190000</v>
      </c>
      <c r="I9" s="33">
        <f>18427.06+391194.03</f>
        <v>409621.09</v>
      </c>
      <c r="J9" s="32">
        <v>9625</v>
      </c>
      <c r="K9" s="33">
        <v>1886.09</v>
      </c>
      <c r="L9" s="32">
        <v>0</v>
      </c>
      <c r="M9" s="33">
        <v>0</v>
      </c>
      <c r="N9" s="35">
        <v>0</v>
      </c>
      <c r="O9" s="33">
        <v>12611.49</v>
      </c>
      <c r="P9" s="110">
        <f>+O9+K9+I9+G9+E9+C9</f>
        <v>553144.61</v>
      </c>
      <c r="Q9" s="137">
        <f>+B9+D9+F9+H9+J9+N9-P9</f>
        <v>-96216.60999999999</v>
      </c>
      <c r="R9" s="5"/>
    </row>
    <row r="10" spans="1:17" ht="17.25">
      <c r="A10" s="109"/>
      <c r="B10" s="35"/>
      <c r="C10" s="33"/>
      <c r="D10" s="35"/>
      <c r="E10" s="33"/>
      <c r="F10" s="35"/>
      <c r="G10" s="33"/>
      <c r="H10" s="35"/>
      <c r="I10" s="33"/>
      <c r="J10" s="35"/>
      <c r="K10" s="33"/>
      <c r="L10" s="37"/>
      <c r="M10" s="37"/>
      <c r="N10" s="35"/>
      <c r="O10" s="33"/>
      <c r="P10" s="110"/>
      <c r="Q10" s="137"/>
    </row>
    <row r="11" spans="1:18" ht="17.25">
      <c r="A11" s="109" t="s">
        <v>100</v>
      </c>
      <c r="B11" s="32">
        <v>1123942</v>
      </c>
      <c r="C11" s="33">
        <f>2872.01+694490.51</f>
        <v>697362.52</v>
      </c>
      <c r="D11" s="32">
        <v>30062</v>
      </c>
      <c r="E11" s="33">
        <f>510.2+10236.82</f>
        <v>10747.02</v>
      </c>
      <c r="F11" s="32">
        <v>370846</v>
      </c>
      <c r="G11" s="33">
        <f>3690+249183.55</f>
        <v>252873.55</v>
      </c>
      <c r="H11" s="32">
        <v>220936</v>
      </c>
      <c r="I11" s="33">
        <v>188617.84</v>
      </c>
      <c r="J11" s="32">
        <v>33192</v>
      </c>
      <c r="K11" s="33">
        <v>4675.25</v>
      </c>
      <c r="L11" s="32">
        <v>12900</v>
      </c>
      <c r="M11" s="37">
        <v>14500.62</v>
      </c>
      <c r="N11" s="32">
        <v>0</v>
      </c>
      <c r="O11" s="33">
        <v>40372.62</v>
      </c>
      <c r="P11" s="110">
        <f>+O11+K11+I11+G11+E11+C11+M11</f>
        <v>1209149.4200000002</v>
      </c>
      <c r="Q11" s="137">
        <f>+B11+D11+F11+H11+J11+N11-P11+L11</f>
        <v>582728.5799999998</v>
      </c>
      <c r="R11" s="5"/>
    </row>
    <row r="12" spans="1:17" ht="18" thickBot="1">
      <c r="A12" s="120" t="s">
        <v>11</v>
      </c>
      <c r="B12" s="115">
        <f aca="true" t="shared" si="0" ref="B12:I12">SUM(B7:B11)</f>
        <v>1861626</v>
      </c>
      <c r="C12" s="116">
        <f>SUM(C7:C11)</f>
        <v>1166664.26</v>
      </c>
      <c r="D12" s="115">
        <f t="shared" si="0"/>
        <v>52649</v>
      </c>
      <c r="E12" s="116">
        <f t="shared" si="0"/>
        <v>25445.85</v>
      </c>
      <c r="F12" s="115">
        <f t="shared" si="0"/>
        <v>1213331</v>
      </c>
      <c r="G12" s="116">
        <f t="shared" si="0"/>
        <v>843388.48</v>
      </c>
      <c r="H12" s="115">
        <f t="shared" si="0"/>
        <v>1654950</v>
      </c>
      <c r="I12" s="116">
        <f t="shared" si="0"/>
        <v>1538474.23</v>
      </c>
      <c r="J12" s="115">
        <f>SUM(J7:J11)</f>
        <v>1436317</v>
      </c>
      <c r="K12" s="116">
        <f>SUM(K7:K11)</f>
        <v>10025.76</v>
      </c>
      <c r="L12" s="115">
        <f aca="true" t="shared" si="1" ref="L12:Q12">SUM(L7:L11)</f>
        <v>12900</v>
      </c>
      <c r="M12" s="117">
        <f t="shared" si="1"/>
        <v>61330.62</v>
      </c>
      <c r="N12" s="115">
        <f t="shared" si="1"/>
        <v>100000</v>
      </c>
      <c r="O12" s="116">
        <f t="shared" si="1"/>
        <v>204994.22</v>
      </c>
      <c r="P12" s="111">
        <f t="shared" si="1"/>
        <v>3850323.42</v>
      </c>
      <c r="Q12" s="138">
        <f t="shared" si="1"/>
        <v>2481449.58</v>
      </c>
    </row>
    <row r="13" spans="1:17" ht="18.75" thickBot="1" thickTop="1">
      <c r="A13" s="121" t="s">
        <v>30</v>
      </c>
      <c r="B13" s="112"/>
      <c r="C13" s="143">
        <f>+C12/B12</f>
        <v>0.6266910002331295</v>
      </c>
      <c r="D13" s="113"/>
      <c r="E13" s="143">
        <f>+E12/D12</f>
        <v>0.4833111740014055</v>
      </c>
      <c r="F13" s="113"/>
      <c r="G13" s="143">
        <f>+G12/F12</f>
        <v>0.6951017323384963</v>
      </c>
      <c r="H13" s="113"/>
      <c r="I13" s="143">
        <f>+I12/H12</f>
        <v>0.9296197649475815</v>
      </c>
      <c r="J13" s="113"/>
      <c r="K13" s="144">
        <f>+K12/J12</f>
        <v>0.006980186128828107</v>
      </c>
      <c r="L13" s="142"/>
      <c r="M13" s="144">
        <f>+M12/L12</f>
        <v>4.754311627906977</v>
      </c>
      <c r="N13" s="114"/>
      <c r="O13" s="145">
        <f>+O12/N12</f>
        <v>2.0499422</v>
      </c>
      <c r="P13" s="48"/>
      <c r="Q13" s="5"/>
    </row>
    <row r="14" spans="1:17" ht="17.25" thickTop="1">
      <c r="A14" s="49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"/>
    </row>
    <row r="15" ht="16.5">
      <c r="P15" s="5"/>
    </row>
    <row r="37" spans="1:6" ht="16.5">
      <c r="A37" s="53"/>
      <c r="B37" s="53"/>
      <c r="C37" s="53"/>
      <c r="D37" s="53"/>
      <c r="E37" s="53"/>
      <c r="F37" s="53"/>
    </row>
    <row r="39" spans="3:11" ht="16.5">
      <c r="C39" s="52"/>
      <c r="D39" s="5"/>
      <c r="E39" s="53"/>
      <c r="F39" s="53"/>
      <c r="K39" s="1" t="s">
        <v>84</v>
      </c>
    </row>
    <row r="40" spans="3:6" ht="16.5">
      <c r="C40" s="5"/>
      <c r="D40" s="5"/>
      <c r="E40" s="53"/>
      <c r="F40" s="53"/>
    </row>
    <row r="41" spans="3:6" ht="16.5">
      <c r="C41" s="5"/>
      <c r="D41" s="5"/>
      <c r="E41" s="53"/>
      <c r="F41" s="53"/>
    </row>
    <row r="42" spans="3:6" ht="16.5">
      <c r="C42" s="5"/>
      <c r="D42" s="5"/>
      <c r="E42" s="53"/>
      <c r="F42" s="53"/>
    </row>
    <row r="43" spans="3:6" ht="16.5">
      <c r="C43" s="5"/>
      <c r="D43" s="5"/>
      <c r="E43" s="53"/>
      <c r="F43" s="53"/>
    </row>
    <row r="44" spans="3:6" ht="16.5">
      <c r="C44" s="5"/>
      <c r="D44" s="5"/>
      <c r="E44" s="53"/>
      <c r="F44" s="53"/>
    </row>
    <row r="46" spans="1:3" ht="17.25">
      <c r="A46" s="21" t="s">
        <v>26</v>
      </c>
      <c r="B46" s="54" t="s">
        <v>27</v>
      </c>
      <c r="C46" s="21" t="s">
        <v>28</v>
      </c>
    </row>
    <row r="47" spans="1:3" ht="17.25">
      <c r="A47" s="55">
        <f>+B12</f>
        <v>1861626</v>
      </c>
      <c r="B47" s="52">
        <f>+C12</f>
        <v>1166664.26</v>
      </c>
      <c r="C47" s="21" t="s">
        <v>1</v>
      </c>
    </row>
    <row r="48" spans="1:3" ht="17.25">
      <c r="A48" s="55">
        <f>+D12</f>
        <v>52649</v>
      </c>
      <c r="B48" s="52">
        <f>+E12</f>
        <v>25445.85</v>
      </c>
      <c r="C48" s="21" t="s">
        <v>2</v>
      </c>
    </row>
    <row r="49" spans="1:3" ht="17.25">
      <c r="A49" s="55">
        <f>+F12</f>
        <v>1213331</v>
      </c>
      <c r="B49" s="52">
        <f>+G12</f>
        <v>843388.48</v>
      </c>
      <c r="C49" s="21" t="s">
        <v>3</v>
      </c>
    </row>
    <row r="50" spans="1:3" ht="17.25">
      <c r="A50" s="55">
        <f>+H12</f>
        <v>1654950</v>
      </c>
      <c r="B50" s="52">
        <f>+I12</f>
        <v>1538474.23</v>
      </c>
      <c r="C50" s="21" t="s">
        <v>34</v>
      </c>
    </row>
    <row r="51" spans="1:3" ht="17.25">
      <c r="A51" s="55">
        <f>+J12</f>
        <v>1436317</v>
      </c>
      <c r="B51" s="52">
        <f>+K12</f>
        <v>10025.76</v>
      </c>
      <c r="C51" s="21" t="s">
        <v>32</v>
      </c>
    </row>
    <row r="52" spans="1:3" ht="17.25">
      <c r="A52" s="55">
        <f>+L12</f>
        <v>12900</v>
      </c>
      <c r="B52" s="52">
        <f>+M12</f>
        <v>61330.62</v>
      </c>
      <c r="C52" s="21" t="s">
        <v>97</v>
      </c>
    </row>
    <row r="53" spans="1:3" ht="17.25">
      <c r="A53" s="55">
        <f>+N12</f>
        <v>100000</v>
      </c>
      <c r="B53" s="52">
        <f>+O12</f>
        <v>204994.22</v>
      </c>
      <c r="C53" s="21" t="s">
        <v>35</v>
      </c>
    </row>
    <row r="55" spans="1:2" ht="16.5">
      <c r="A55" s="55"/>
      <c r="B55" s="52"/>
    </row>
  </sheetData>
  <mergeCells count="9">
    <mergeCell ref="L2:M2"/>
    <mergeCell ref="B2:E2"/>
    <mergeCell ref="B3:C3"/>
    <mergeCell ref="N5:O5"/>
    <mergeCell ref="J5:K5"/>
    <mergeCell ref="B5:C5"/>
    <mergeCell ref="D5:E5"/>
    <mergeCell ref="F5:G5"/>
    <mergeCell ref="H5:I5"/>
  </mergeCells>
  <printOptions/>
  <pageMargins left="0.85" right="0.48" top="0.7480314960629921" bottom="1" header="0.34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0"/>
  <sheetViews>
    <sheetView workbookViewId="0" topLeftCell="J2">
      <selection activeCell="P18" sqref="P18"/>
    </sheetView>
  </sheetViews>
  <sheetFormatPr defaultColWidth="11.421875" defaultRowHeight="15"/>
  <cols>
    <col min="1" max="1" width="18.7109375" style="1" customWidth="1"/>
    <col min="2" max="2" width="9.28125" style="1" customWidth="1"/>
    <col min="3" max="3" width="12.140625" style="1" customWidth="1"/>
    <col min="4" max="4" width="7.140625" style="1" customWidth="1"/>
    <col min="5" max="5" width="9.57421875" style="1" customWidth="1"/>
    <col min="6" max="6" width="9.7109375" style="1" customWidth="1"/>
    <col min="7" max="7" width="10.140625" style="1" customWidth="1"/>
    <col min="8" max="8" width="7.421875" style="1" customWidth="1"/>
    <col min="9" max="9" width="10.57421875" style="1" customWidth="1"/>
    <col min="10" max="10" width="7.421875" style="1" customWidth="1"/>
    <col min="11" max="11" width="9.7109375" style="1" customWidth="1"/>
    <col min="12" max="12" width="7.57421875" style="1" customWidth="1"/>
    <col min="13" max="13" width="10.00390625" style="1" customWidth="1"/>
    <col min="14" max="14" width="7.57421875" style="1" customWidth="1"/>
    <col min="15" max="15" width="10.28125" style="1" customWidth="1"/>
    <col min="16" max="16" width="12.140625" style="1" customWidth="1"/>
    <col min="17" max="17" width="10.8515625" style="1" customWidth="1"/>
    <col min="18" max="18" width="11.8515625" style="1" bestFit="1" customWidth="1"/>
    <col min="19" max="19" width="13.8515625" style="1" bestFit="1" customWidth="1"/>
    <col min="20" max="16384" width="11.421875" style="1" customWidth="1"/>
  </cols>
  <sheetData>
    <row r="2" spans="1:15" ht="18">
      <c r="A2" s="146" t="s">
        <v>0</v>
      </c>
      <c r="B2" s="166" t="s">
        <v>121</v>
      </c>
      <c r="C2" s="182"/>
      <c r="D2" s="182"/>
      <c r="E2" s="183"/>
      <c r="F2" s="183"/>
      <c r="G2" s="179"/>
      <c r="K2" s="184" t="s">
        <v>23</v>
      </c>
      <c r="L2" s="184"/>
      <c r="M2" s="150">
        <v>40756</v>
      </c>
      <c r="O2" s="56"/>
    </row>
    <row r="3" spans="2:4" ht="16.5">
      <c r="B3" s="164"/>
      <c r="C3" s="181"/>
      <c r="D3" s="181"/>
    </row>
    <row r="4" ht="17.25" thickBot="1"/>
    <row r="5" spans="1:17" ht="17.25">
      <c r="A5" s="25"/>
      <c r="B5" s="173" t="s">
        <v>1</v>
      </c>
      <c r="C5" s="174"/>
      <c r="D5" s="173" t="s">
        <v>2</v>
      </c>
      <c r="E5" s="174"/>
      <c r="F5" s="173" t="s">
        <v>3</v>
      </c>
      <c r="G5" s="174"/>
      <c r="H5" s="173" t="s">
        <v>4</v>
      </c>
      <c r="I5" s="174"/>
      <c r="J5" s="173" t="s">
        <v>32</v>
      </c>
      <c r="K5" s="174"/>
      <c r="L5" s="173" t="s">
        <v>36</v>
      </c>
      <c r="M5" s="174"/>
      <c r="N5" s="173" t="s">
        <v>33</v>
      </c>
      <c r="O5" s="174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9" ht="17.25">
      <c r="A7" s="31" t="s">
        <v>129</v>
      </c>
      <c r="B7" s="32">
        <v>982854</v>
      </c>
      <c r="C7" s="33">
        <f>167952.56+442535.96+15912.06+36144.22+2498.37+6590.64</f>
        <v>671633.81</v>
      </c>
      <c r="D7" s="32">
        <v>17960</v>
      </c>
      <c r="E7" s="33">
        <f>214.67+15146.05</f>
        <v>15360.72</v>
      </c>
      <c r="F7" s="32">
        <f>638238+300000</f>
        <v>938238</v>
      </c>
      <c r="G7" s="33">
        <f>12148.58+842202.94+563.13+1000</f>
        <v>855914.6499999999</v>
      </c>
      <c r="H7" s="32">
        <v>240811</v>
      </c>
      <c r="I7" s="33">
        <f>15000+216351.81</f>
        <v>231351.81</v>
      </c>
      <c r="J7" s="32">
        <v>0</v>
      </c>
      <c r="K7" s="33">
        <v>863.44</v>
      </c>
      <c r="L7" s="32">
        <v>0</v>
      </c>
      <c r="M7" s="37">
        <v>32151.92</v>
      </c>
      <c r="N7" s="32">
        <v>200000</v>
      </c>
      <c r="O7" s="33">
        <f>106481.52+1568.92</f>
        <v>108050.44</v>
      </c>
      <c r="P7" s="34">
        <f>+C7+E7+G7+I7+K7+O7+M7</f>
        <v>1915326.7899999998</v>
      </c>
      <c r="Q7" s="34">
        <f>+B7+D7+F7+H7+J7+N7+L7-P7</f>
        <v>464536.2100000002</v>
      </c>
      <c r="R7" s="5"/>
      <c r="S7" s="5"/>
    </row>
    <row r="8" spans="1:18" ht="17.25" hidden="1">
      <c r="A8" s="31" t="s">
        <v>93</v>
      </c>
      <c r="B8" s="32">
        <v>0</v>
      </c>
      <c r="C8" s="33"/>
      <c r="D8" s="32">
        <v>0</v>
      </c>
      <c r="E8" s="33"/>
      <c r="F8" s="32">
        <v>0</v>
      </c>
      <c r="G8" s="33"/>
      <c r="H8" s="32">
        <v>0</v>
      </c>
      <c r="I8" s="33"/>
      <c r="J8" s="32">
        <v>0</v>
      </c>
      <c r="K8" s="33"/>
      <c r="L8" s="32">
        <v>0</v>
      </c>
      <c r="M8" s="37"/>
      <c r="N8" s="32">
        <v>0</v>
      </c>
      <c r="O8" s="33"/>
      <c r="P8" s="34">
        <f aca="true" t="shared" si="0" ref="P8:P14">+C8+E8+G8+I8+K8+O8</f>
        <v>0</v>
      </c>
      <c r="Q8" s="34">
        <f aca="true" t="shared" si="1" ref="Q8:Q14">+B8+D8+F8+H8+J8+N8-P8</f>
        <v>0</v>
      </c>
      <c r="R8" s="5"/>
    </row>
    <row r="9" spans="1:18" ht="17.25">
      <c r="A9" s="31" t="s">
        <v>91</v>
      </c>
      <c r="B9" s="32">
        <v>257355</v>
      </c>
      <c r="C9" s="33">
        <f>44467.89+136740.25</f>
        <v>181208.14</v>
      </c>
      <c r="D9" s="32">
        <v>2000</v>
      </c>
      <c r="E9" s="33">
        <f>340.55+11875.42</f>
        <v>12215.97</v>
      </c>
      <c r="F9" s="32">
        <v>249000</v>
      </c>
      <c r="G9" s="33">
        <v>43995.89</v>
      </c>
      <c r="H9" s="32">
        <v>0</v>
      </c>
      <c r="I9" s="33">
        <v>0</v>
      </c>
      <c r="J9" s="32">
        <v>1500</v>
      </c>
      <c r="K9" s="33">
        <v>0</v>
      </c>
      <c r="L9" s="32">
        <v>0</v>
      </c>
      <c r="M9" s="37">
        <v>0</v>
      </c>
      <c r="N9" s="32">
        <v>0</v>
      </c>
      <c r="O9" s="33">
        <v>5077.76</v>
      </c>
      <c r="P9" s="34">
        <f t="shared" si="0"/>
        <v>242497.76</v>
      </c>
      <c r="Q9" s="34">
        <f t="shared" si="1"/>
        <v>267357.24</v>
      </c>
      <c r="R9" s="5"/>
    </row>
    <row r="10" spans="1:18" ht="17.25">
      <c r="A10" s="31" t="s">
        <v>122</v>
      </c>
      <c r="B10" s="32">
        <v>49792</v>
      </c>
      <c r="C10" s="33">
        <f>10652.58+23602.64</f>
        <v>34255.22</v>
      </c>
      <c r="D10" s="32">
        <v>0</v>
      </c>
      <c r="E10" s="33">
        <v>0</v>
      </c>
      <c r="F10" s="32">
        <v>0</v>
      </c>
      <c r="G10" s="33">
        <v>500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7">
        <v>0</v>
      </c>
      <c r="N10" s="32">
        <v>0</v>
      </c>
      <c r="O10" s="33">
        <v>967.67</v>
      </c>
      <c r="P10" s="34">
        <f t="shared" si="0"/>
        <v>35722.89</v>
      </c>
      <c r="Q10" s="34">
        <f t="shared" si="1"/>
        <v>14069.11</v>
      </c>
      <c r="R10" s="5"/>
    </row>
    <row r="11" spans="1:18" ht="17.25">
      <c r="A11" s="31" t="s">
        <v>92</v>
      </c>
      <c r="B11" s="32">
        <v>77210</v>
      </c>
      <c r="C11" s="33">
        <f>12677.94+34905.62</f>
        <v>47583.560000000005</v>
      </c>
      <c r="D11" s="32">
        <v>0</v>
      </c>
      <c r="E11" s="33">
        <v>1928.91</v>
      </c>
      <c r="F11" s="32">
        <v>0</v>
      </c>
      <c r="G11" s="33">
        <v>16210.86</v>
      </c>
      <c r="H11" s="32">
        <v>0</v>
      </c>
      <c r="I11" s="33">
        <v>0</v>
      </c>
      <c r="J11" s="32">
        <v>0</v>
      </c>
      <c r="K11" s="33">
        <f>199*2</f>
        <v>398</v>
      </c>
      <c r="L11" s="32">
        <v>0</v>
      </c>
      <c r="M11" s="37">
        <v>0</v>
      </c>
      <c r="N11" s="32">
        <v>0</v>
      </c>
      <c r="O11" s="33">
        <v>1995.21</v>
      </c>
      <c r="P11" s="34">
        <f t="shared" si="0"/>
        <v>68116.54000000002</v>
      </c>
      <c r="Q11" s="34">
        <f t="shared" si="1"/>
        <v>9093.459999999977</v>
      </c>
      <c r="R11" s="5"/>
    </row>
    <row r="12" spans="1:18" ht="17.25">
      <c r="A12" s="31" t="s">
        <v>94</v>
      </c>
      <c r="B12" s="32">
        <v>113170</v>
      </c>
      <c r="C12" s="33">
        <f>11278.65+32772.27</f>
        <v>44050.92</v>
      </c>
      <c r="D12" s="32">
        <v>0</v>
      </c>
      <c r="E12" s="33">
        <v>0</v>
      </c>
      <c r="F12" s="32">
        <v>0</v>
      </c>
      <c r="G12" s="33">
        <v>395.49</v>
      </c>
      <c r="H12" s="32">
        <v>0</v>
      </c>
      <c r="I12" s="33">
        <v>0</v>
      </c>
      <c r="J12" s="32">
        <v>0</v>
      </c>
      <c r="K12" s="33">
        <v>0</v>
      </c>
      <c r="L12" s="32">
        <v>0</v>
      </c>
      <c r="M12" s="37">
        <v>0</v>
      </c>
      <c r="N12" s="32">
        <v>0</v>
      </c>
      <c r="O12" s="33">
        <v>2424.35</v>
      </c>
      <c r="P12" s="34">
        <f t="shared" si="0"/>
        <v>46870.759999999995</v>
      </c>
      <c r="Q12" s="34">
        <f t="shared" si="1"/>
        <v>66299.24</v>
      </c>
      <c r="R12" s="5"/>
    </row>
    <row r="13" spans="1:18" ht="17.25">
      <c r="A13" s="31" t="s">
        <v>123</v>
      </c>
      <c r="B13" s="32">
        <v>157649</v>
      </c>
      <c r="C13" s="33">
        <f>22828.88+70569.05</f>
        <v>93397.93000000001</v>
      </c>
      <c r="D13" s="32">
        <v>0</v>
      </c>
      <c r="E13" s="33">
        <v>0</v>
      </c>
      <c r="F13" s="32">
        <v>0</v>
      </c>
      <c r="G13" s="33">
        <v>0</v>
      </c>
      <c r="H13" s="32">
        <v>0</v>
      </c>
      <c r="I13" s="33">
        <v>0</v>
      </c>
      <c r="J13" s="32">
        <v>0</v>
      </c>
      <c r="K13" s="33">
        <v>0</v>
      </c>
      <c r="L13" s="32">
        <v>0</v>
      </c>
      <c r="M13" s="37">
        <v>0</v>
      </c>
      <c r="N13" s="32">
        <v>0</v>
      </c>
      <c r="O13" s="33">
        <v>3172.79</v>
      </c>
      <c r="P13" s="34">
        <f t="shared" si="0"/>
        <v>96570.72</v>
      </c>
      <c r="Q13" s="34">
        <f t="shared" si="1"/>
        <v>61078.28</v>
      </c>
      <c r="R13" s="5"/>
    </row>
    <row r="14" spans="1:18" ht="17.25">
      <c r="A14" s="31" t="s">
        <v>124</v>
      </c>
      <c r="B14" s="32">
        <v>0</v>
      </c>
      <c r="C14" s="33">
        <v>0</v>
      </c>
      <c r="D14" s="32">
        <v>5921</v>
      </c>
      <c r="E14" s="33">
        <v>0</v>
      </c>
      <c r="F14" s="32">
        <v>105000</v>
      </c>
      <c r="G14" s="33">
        <v>0</v>
      </c>
      <c r="H14" s="32">
        <v>0</v>
      </c>
      <c r="I14" s="33">
        <v>0</v>
      </c>
      <c r="J14" s="32">
        <v>0</v>
      </c>
      <c r="K14" s="33">
        <v>0</v>
      </c>
      <c r="L14" s="32">
        <v>0</v>
      </c>
      <c r="M14" s="37">
        <v>0</v>
      </c>
      <c r="N14" s="32">
        <v>0</v>
      </c>
      <c r="O14" s="33">
        <v>0</v>
      </c>
      <c r="P14" s="34">
        <f t="shared" si="0"/>
        <v>0</v>
      </c>
      <c r="Q14" s="34">
        <f t="shared" si="1"/>
        <v>110921</v>
      </c>
      <c r="R14" s="5"/>
    </row>
    <row r="15" spans="1:18" ht="17.25">
      <c r="A15" s="31" t="s">
        <v>130</v>
      </c>
      <c r="B15" s="32">
        <v>48076</v>
      </c>
      <c r="C15" s="33">
        <f>18712.94+51583.33</f>
        <v>70296.27</v>
      </c>
      <c r="D15" s="32">
        <v>0</v>
      </c>
      <c r="E15" s="33">
        <v>0</v>
      </c>
      <c r="F15" s="32">
        <v>0</v>
      </c>
      <c r="G15" s="33">
        <v>0</v>
      </c>
      <c r="H15" s="32">
        <v>0</v>
      </c>
      <c r="I15" s="33">
        <v>0</v>
      </c>
      <c r="J15" s="32">
        <v>0</v>
      </c>
      <c r="K15" s="33">
        <v>0</v>
      </c>
      <c r="L15" s="32">
        <v>0</v>
      </c>
      <c r="M15" s="37">
        <v>0</v>
      </c>
      <c r="N15" s="32">
        <v>0</v>
      </c>
      <c r="O15" s="33">
        <v>2316.87</v>
      </c>
      <c r="P15" s="34">
        <f>+C15+E15+G15+I15+K15+O15</f>
        <v>72613.14</v>
      </c>
      <c r="Q15" s="34">
        <f>+B15+D15+F15+H15+J15+N15-P15</f>
        <v>-24537.14</v>
      </c>
      <c r="R15" s="5"/>
    </row>
    <row r="16" spans="1:18" ht="18" thickBot="1">
      <c r="A16" s="38" t="s">
        <v>11</v>
      </c>
      <c r="B16" s="39">
        <f aca="true" t="shared" si="2" ref="B16:Q16">SUM(B7:B15)</f>
        <v>1686106</v>
      </c>
      <c r="C16" s="40">
        <f t="shared" si="2"/>
        <v>1142425.85</v>
      </c>
      <c r="D16" s="39">
        <f t="shared" si="2"/>
        <v>25881</v>
      </c>
      <c r="E16" s="40">
        <f t="shared" si="2"/>
        <v>29505.6</v>
      </c>
      <c r="F16" s="39">
        <f t="shared" si="2"/>
        <v>1292238</v>
      </c>
      <c r="G16" s="40">
        <f t="shared" si="2"/>
        <v>917016.8899999999</v>
      </c>
      <c r="H16" s="39">
        <f t="shared" si="2"/>
        <v>240811</v>
      </c>
      <c r="I16" s="40">
        <f t="shared" si="2"/>
        <v>231351.81</v>
      </c>
      <c r="J16" s="39">
        <f t="shared" si="2"/>
        <v>1500</v>
      </c>
      <c r="K16" s="40">
        <f t="shared" si="2"/>
        <v>1261.44</v>
      </c>
      <c r="L16" s="39">
        <f t="shared" si="2"/>
        <v>0</v>
      </c>
      <c r="M16" s="40">
        <f t="shared" si="2"/>
        <v>32151.92</v>
      </c>
      <c r="N16" s="39">
        <f t="shared" si="2"/>
        <v>200000</v>
      </c>
      <c r="O16" s="40">
        <f t="shared" si="2"/>
        <v>124005.09</v>
      </c>
      <c r="P16" s="42">
        <f>SUM(P7:P15)</f>
        <v>2477718.6</v>
      </c>
      <c r="Q16" s="42">
        <f t="shared" si="2"/>
        <v>968817.4000000001</v>
      </c>
      <c r="R16" s="5"/>
    </row>
    <row r="17" spans="1:17" ht="17.25" thickBot="1">
      <c r="A17" s="43" t="s">
        <v>30</v>
      </c>
      <c r="B17" s="44"/>
      <c r="C17" s="139">
        <f>+C16/B16</f>
        <v>0.6775528051024076</v>
      </c>
      <c r="D17" s="139"/>
      <c r="E17" s="139">
        <f>+E16/D16</f>
        <v>1.1400486843630462</v>
      </c>
      <c r="F17" s="139"/>
      <c r="G17" s="139">
        <f>+G16/F16</f>
        <v>0.7096346725603178</v>
      </c>
      <c r="H17" s="139"/>
      <c r="I17" s="139">
        <f>+I16/H16</f>
        <v>0.9607194438792248</v>
      </c>
      <c r="J17" s="139"/>
      <c r="K17" s="139">
        <f>+K16/J16</f>
        <v>0.84096</v>
      </c>
      <c r="L17" s="147"/>
      <c r="M17" s="139"/>
      <c r="N17" s="149"/>
      <c r="O17" s="141">
        <f>+O16/N16</f>
        <v>0.62002545</v>
      </c>
      <c r="P17" s="58"/>
      <c r="Q17" s="5"/>
    </row>
    <row r="18" spans="1:17" ht="16.5">
      <c r="A18" s="49"/>
      <c r="B18" s="4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140"/>
      <c r="Q18" s="5"/>
    </row>
    <row r="19" spans="1:16" ht="16.5">
      <c r="A19" s="49"/>
      <c r="B19" s="4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36" spans="5:8" ht="16.5">
      <c r="E36" s="59"/>
      <c r="F36" s="59"/>
      <c r="G36" s="60"/>
      <c r="H36" s="60"/>
    </row>
    <row r="37" spans="5:8" ht="16.5">
      <c r="E37" s="61"/>
      <c r="F37" s="61"/>
      <c r="G37" s="61"/>
      <c r="H37" s="61"/>
    </row>
    <row r="42" spans="1:6" ht="16.5">
      <c r="A42" s="53"/>
      <c r="B42" s="53"/>
      <c r="C42" s="53"/>
      <c r="D42" s="53"/>
      <c r="E42" s="53"/>
      <c r="F42" s="53"/>
    </row>
    <row r="43" ht="16.5">
      <c r="C43" s="48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spans="3:6" ht="16.5">
      <c r="C47" s="52"/>
      <c r="D47" s="5"/>
      <c r="E47" s="53"/>
      <c r="F47" s="53"/>
    </row>
    <row r="48" spans="3:6" ht="16.5">
      <c r="C48" s="52"/>
      <c r="D48" s="5"/>
      <c r="E48" s="53"/>
      <c r="F48" s="53"/>
    </row>
    <row r="49" spans="3:6" ht="16.5">
      <c r="C49" s="52"/>
      <c r="D49" s="5"/>
      <c r="E49" s="53"/>
      <c r="F49" s="53"/>
    </row>
    <row r="51" spans="1:5" ht="16.5">
      <c r="A51" s="62" t="s">
        <v>26</v>
      </c>
      <c r="B51" s="62" t="s">
        <v>27</v>
      </c>
      <c r="C51" s="62" t="s">
        <v>28</v>
      </c>
      <c r="D51" s="62"/>
      <c r="E51" s="63"/>
    </row>
    <row r="52" spans="1:3" ht="17.25">
      <c r="A52" s="64">
        <f>+B16</f>
        <v>1686106</v>
      </c>
      <c r="B52" s="65">
        <f>+C16</f>
        <v>1142425.85</v>
      </c>
      <c r="C52" s="62" t="s">
        <v>1</v>
      </c>
    </row>
    <row r="53" spans="1:3" ht="17.25">
      <c r="A53" s="64">
        <f>+D16</f>
        <v>25881</v>
      </c>
      <c r="B53" s="65">
        <f>+E16</f>
        <v>29505.6</v>
      </c>
      <c r="C53" s="62" t="s">
        <v>2</v>
      </c>
    </row>
    <row r="54" spans="1:3" ht="17.25">
      <c r="A54" s="64">
        <f>+F16</f>
        <v>1292238</v>
      </c>
      <c r="B54" s="65">
        <f>+G16</f>
        <v>917016.8899999999</v>
      </c>
      <c r="C54" s="62" t="s">
        <v>3</v>
      </c>
    </row>
    <row r="55" spans="1:3" ht="17.25">
      <c r="A55" s="64">
        <f>+H16</f>
        <v>240811</v>
      </c>
      <c r="B55" s="65">
        <f>+I16</f>
        <v>231351.81</v>
      </c>
      <c r="C55" s="62" t="s">
        <v>34</v>
      </c>
    </row>
    <row r="56" spans="1:3" ht="17.25">
      <c r="A56" s="64">
        <f>+J16</f>
        <v>1500</v>
      </c>
      <c r="B56" s="65">
        <f>+K16</f>
        <v>1261.44</v>
      </c>
      <c r="C56" s="62" t="s">
        <v>32</v>
      </c>
    </row>
    <row r="57" spans="1:3" ht="17.25">
      <c r="A57" s="66">
        <f>+L16</f>
        <v>0</v>
      </c>
      <c r="B57" s="65">
        <f>+M16</f>
        <v>32151.92</v>
      </c>
      <c r="C57" s="62" t="s">
        <v>102</v>
      </c>
    </row>
    <row r="58" spans="1:3" ht="17.25">
      <c r="A58" s="64">
        <f>+N16</f>
        <v>200000</v>
      </c>
      <c r="B58" s="65">
        <f>+O16</f>
        <v>124005.09</v>
      </c>
      <c r="C58" s="62" t="s">
        <v>35</v>
      </c>
    </row>
    <row r="59" spans="1:3" ht="17.25">
      <c r="A59" s="64"/>
      <c r="B59" s="64"/>
      <c r="C59" s="62"/>
    </row>
    <row r="60" spans="1:2" ht="16.5">
      <c r="A60" s="1">
        <v>2809993</v>
      </c>
      <c r="B60" s="5">
        <v>749308.3</v>
      </c>
    </row>
  </sheetData>
  <mergeCells count="10">
    <mergeCell ref="B2:G2"/>
    <mergeCell ref="B3:D3"/>
    <mergeCell ref="J5:K5"/>
    <mergeCell ref="N5:O5"/>
    <mergeCell ref="B5:C5"/>
    <mergeCell ref="D5:E5"/>
    <mergeCell ref="F5:G5"/>
    <mergeCell ref="H5:I5"/>
    <mergeCell ref="L5:M5"/>
    <mergeCell ref="K2:L2"/>
  </mergeCells>
  <printOptions/>
  <pageMargins left="0.7874015748031497" right="0.59" top="0.61" bottom="0.4330708661417323" header="0" footer="0"/>
  <pageSetup horizontalDpi="600" verticalDpi="6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6"/>
  <sheetViews>
    <sheetView workbookViewId="0" topLeftCell="A1">
      <selection activeCell="P15" sqref="P15"/>
    </sheetView>
  </sheetViews>
  <sheetFormatPr defaultColWidth="11.421875" defaultRowHeight="15"/>
  <cols>
    <col min="1" max="1" width="15.7109375" style="1" customWidth="1"/>
    <col min="2" max="2" width="9.28125" style="1" customWidth="1"/>
    <col min="3" max="3" width="12.421875" style="1" customWidth="1"/>
    <col min="4" max="4" width="6.8515625" style="1" customWidth="1"/>
    <col min="5" max="5" width="9.28125" style="1" customWidth="1"/>
    <col min="6" max="6" width="9.00390625" style="1" customWidth="1"/>
    <col min="7" max="7" width="11.140625" style="1" customWidth="1"/>
    <col min="8" max="8" width="9.140625" style="1" customWidth="1"/>
    <col min="9" max="9" width="11.8515625" style="1" customWidth="1"/>
    <col min="10" max="10" width="7.421875" style="1" customWidth="1"/>
    <col min="11" max="11" width="8.57421875" style="1" customWidth="1"/>
    <col min="12" max="12" width="7.8515625" style="1" customWidth="1"/>
    <col min="13" max="13" width="9.57421875" style="1" customWidth="1"/>
    <col min="14" max="14" width="7.421875" style="1" customWidth="1"/>
    <col min="15" max="15" width="10.57421875" style="1" customWidth="1"/>
    <col min="16" max="17" width="12.00390625" style="1" customWidth="1"/>
    <col min="18" max="18" width="13.8515625" style="1" bestFit="1" customWidth="1"/>
    <col min="19" max="16384" width="11.421875" style="1" customWidth="1"/>
  </cols>
  <sheetData>
    <row r="2" spans="1:15" ht="18">
      <c r="A2" s="146" t="s">
        <v>0</v>
      </c>
      <c r="B2" s="166" t="s">
        <v>125</v>
      </c>
      <c r="C2" s="182"/>
      <c r="D2" s="182"/>
      <c r="E2" s="183"/>
      <c r="F2" s="183"/>
      <c r="G2" s="179"/>
      <c r="K2" s="185" t="s">
        <v>23</v>
      </c>
      <c r="L2" s="186"/>
      <c r="M2" s="150">
        <v>40756</v>
      </c>
      <c r="O2" s="56"/>
    </row>
    <row r="3" spans="2:4" ht="16.5">
      <c r="B3" s="164"/>
      <c r="C3" s="181"/>
      <c r="D3" s="181"/>
    </row>
    <row r="4" ht="17.25" thickBot="1"/>
    <row r="5" spans="1:17" ht="17.25">
      <c r="A5" s="25"/>
      <c r="B5" s="173" t="s">
        <v>1</v>
      </c>
      <c r="C5" s="174"/>
      <c r="D5" s="173" t="s">
        <v>2</v>
      </c>
      <c r="E5" s="174"/>
      <c r="F5" s="173" t="s">
        <v>3</v>
      </c>
      <c r="G5" s="174"/>
      <c r="H5" s="173" t="s">
        <v>4</v>
      </c>
      <c r="I5" s="174"/>
      <c r="J5" s="173" t="s">
        <v>32</v>
      </c>
      <c r="K5" s="174"/>
      <c r="L5" s="173" t="s">
        <v>36</v>
      </c>
      <c r="M5" s="174"/>
      <c r="N5" s="173" t="s">
        <v>33</v>
      </c>
      <c r="O5" s="174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7" ht="17.25">
      <c r="A7" s="97"/>
      <c r="B7" s="159"/>
      <c r="C7" s="160"/>
      <c r="D7" s="159"/>
      <c r="E7" s="160"/>
      <c r="F7" s="159"/>
      <c r="G7" s="160"/>
      <c r="H7" s="159"/>
      <c r="I7" s="160"/>
      <c r="J7" s="159"/>
      <c r="K7" s="160"/>
      <c r="L7" s="159"/>
      <c r="M7" s="159"/>
      <c r="N7" s="159"/>
      <c r="O7" s="160"/>
      <c r="P7" s="161"/>
      <c r="Q7" s="162"/>
    </row>
    <row r="8" spans="1:18" ht="17.25">
      <c r="A8" s="31" t="s">
        <v>131</v>
      </c>
      <c r="B8" s="32">
        <v>1567215</v>
      </c>
      <c r="C8" s="33">
        <f>262119.17+761660.14</f>
        <v>1023779.31</v>
      </c>
      <c r="D8" s="32">
        <v>33506</v>
      </c>
      <c r="E8" s="33">
        <f>5432.72+30930.05</f>
        <v>36362.77</v>
      </c>
      <c r="F8" s="32">
        <f>1318843+300000</f>
        <v>1618843</v>
      </c>
      <c r="G8" s="33">
        <f>19563.07+890587.55</f>
        <v>910150.62</v>
      </c>
      <c r="H8" s="32">
        <v>1024519</v>
      </c>
      <c r="I8" s="33">
        <f>23269.96+989082.61</f>
        <v>1012352.57</v>
      </c>
      <c r="J8" s="32">
        <f>130000</f>
        <v>130000</v>
      </c>
      <c r="K8" s="33">
        <v>3451.82</v>
      </c>
      <c r="L8" s="32">
        <v>416000</v>
      </c>
      <c r="M8" s="37">
        <v>13887.48</v>
      </c>
      <c r="N8" s="32">
        <v>200000</v>
      </c>
      <c r="O8" s="33">
        <v>166056.77</v>
      </c>
      <c r="P8" s="34">
        <f>+C8+E8+G8+I8+K8+O8+M8</f>
        <v>3166041.34</v>
      </c>
      <c r="Q8" s="34">
        <f>+B8+D8+F8+H8+J8+N8+L8-P8</f>
        <v>1824041.6600000001</v>
      </c>
      <c r="R8" s="163"/>
    </row>
    <row r="9" spans="1:18" ht="17.25" hidden="1">
      <c r="A9" s="31" t="s">
        <v>132</v>
      </c>
      <c r="B9" s="32">
        <v>0</v>
      </c>
      <c r="C9" s="33"/>
      <c r="D9" s="32">
        <v>0</v>
      </c>
      <c r="E9" s="33"/>
      <c r="F9" s="32">
        <v>0</v>
      </c>
      <c r="G9" s="33"/>
      <c r="H9" s="32">
        <v>0</v>
      </c>
      <c r="I9" s="33"/>
      <c r="J9" s="32">
        <v>0</v>
      </c>
      <c r="K9" s="33"/>
      <c r="L9" s="32">
        <v>0</v>
      </c>
      <c r="M9" s="37"/>
      <c r="N9" s="32">
        <v>0</v>
      </c>
      <c r="O9" s="33"/>
      <c r="P9" s="34">
        <f>+C9+E9+G9+I9+K9+O9</f>
        <v>0</v>
      </c>
      <c r="Q9" s="34">
        <f>+B9+D9+F9+H9+J9+N9-P9</f>
        <v>0</v>
      </c>
      <c r="R9" s="5"/>
    </row>
    <row r="10" spans="1:18" ht="17.25" hidden="1">
      <c r="A10" s="31" t="s">
        <v>133</v>
      </c>
      <c r="B10" s="32">
        <v>0</v>
      </c>
      <c r="C10" s="33"/>
      <c r="D10" s="35">
        <v>0</v>
      </c>
      <c r="E10" s="33"/>
      <c r="F10" s="32">
        <v>0</v>
      </c>
      <c r="G10" s="33"/>
      <c r="H10" s="32">
        <v>0</v>
      </c>
      <c r="I10" s="33"/>
      <c r="J10" s="35">
        <v>0</v>
      </c>
      <c r="K10" s="33"/>
      <c r="L10" s="32">
        <v>0</v>
      </c>
      <c r="M10" s="37"/>
      <c r="N10" s="32">
        <v>0</v>
      </c>
      <c r="O10" s="33"/>
      <c r="P10" s="34">
        <f>+C10+E10+G10+I10+K10+O10</f>
        <v>0</v>
      </c>
      <c r="Q10" s="34">
        <f>+B10+D10+F10+H10+J10+N10-P10</f>
        <v>0</v>
      </c>
      <c r="R10" s="5"/>
    </row>
    <row r="11" spans="1:18" ht="14.25" customHeight="1">
      <c r="A11" s="31"/>
      <c r="B11" s="32"/>
      <c r="C11" s="33"/>
      <c r="D11" s="35"/>
      <c r="E11" s="33"/>
      <c r="F11" s="32"/>
      <c r="G11" s="33"/>
      <c r="H11" s="32"/>
      <c r="I11" s="33"/>
      <c r="J11" s="35"/>
      <c r="K11" s="33"/>
      <c r="L11" s="37"/>
      <c r="M11" s="37"/>
      <c r="N11" s="32"/>
      <c r="O11" s="33"/>
      <c r="P11" s="34"/>
      <c r="Q11" s="34"/>
      <c r="R11" s="5"/>
    </row>
    <row r="12" spans="1:18" ht="18" thickBot="1">
      <c r="A12" s="38" t="s">
        <v>11</v>
      </c>
      <c r="B12" s="39">
        <f aca="true" t="shared" si="0" ref="B12:Q12">SUM(B8:B11)</f>
        <v>1567215</v>
      </c>
      <c r="C12" s="40">
        <f t="shared" si="0"/>
        <v>1023779.31</v>
      </c>
      <c r="D12" s="39">
        <f t="shared" si="0"/>
        <v>33506</v>
      </c>
      <c r="E12" s="40">
        <f t="shared" si="0"/>
        <v>36362.77</v>
      </c>
      <c r="F12" s="39">
        <f t="shared" si="0"/>
        <v>1618843</v>
      </c>
      <c r="G12" s="40">
        <f t="shared" si="0"/>
        <v>910150.62</v>
      </c>
      <c r="H12" s="39">
        <f t="shared" si="0"/>
        <v>1024519</v>
      </c>
      <c r="I12" s="40">
        <f t="shared" si="0"/>
        <v>1012352.57</v>
      </c>
      <c r="J12" s="39">
        <f t="shared" si="0"/>
        <v>130000</v>
      </c>
      <c r="K12" s="40">
        <f t="shared" si="0"/>
        <v>3451.82</v>
      </c>
      <c r="L12" s="39">
        <f t="shared" si="0"/>
        <v>416000</v>
      </c>
      <c r="M12" s="40">
        <f t="shared" si="0"/>
        <v>13887.48</v>
      </c>
      <c r="N12" s="39">
        <f t="shared" si="0"/>
        <v>200000</v>
      </c>
      <c r="O12" s="40">
        <f t="shared" si="0"/>
        <v>166056.77</v>
      </c>
      <c r="P12" s="42">
        <f t="shared" si="0"/>
        <v>3166041.34</v>
      </c>
      <c r="Q12" s="42">
        <f t="shared" si="0"/>
        <v>1824041.6600000001</v>
      </c>
      <c r="R12" s="5"/>
    </row>
    <row r="13" spans="1:17" ht="17.25" thickBot="1">
      <c r="A13" s="43" t="s">
        <v>30</v>
      </c>
      <c r="B13" s="44"/>
      <c r="C13" s="139">
        <f>+C12/B12</f>
        <v>0.6532475186876083</v>
      </c>
      <c r="D13" s="139"/>
      <c r="E13" s="139">
        <f>+E12/D12</f>
        <v>1.0852614457112157</v>
      </c>
      <c r="F13" s="139"/>
      <c r="G13" s="139">
        <f>+G12/F12</f>
        <v>0.562222908583476</v>
      </c>
      <c r="H13" s="45"/>
      <c r="I13" s="139">
        <f>+I12/H12</f>
        <v>0.9881247395119075</v>
      </c>
      <c r="J13" s="45"/>
      <c r="K13" s="45"/>
      <c r="L13" s="47"/>
      <c r="M13" s="147">
        <f>+M12/L12</f>
        <v>0.033383365384615386</v>
      </c>
      <c r="N13" s="45"/>
      <c r="O13" s="141">
        <f>+O12/N12</f>
        <v>0.8302838499999999</v>
      </c>
      <c r="P13" s="58"/>
      <c r="Q13" s="5"/>
    </row>
    <row r="14" spans="1:17" ht="9" customHeight="1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"/>
    </row>
    <row r="15" spans="1:16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32" spans="5:8" ht="16.5">
      <c r="E32" s="59"/>
      <c r="F32" s="59"/>
      <c r="G32" s="60"/>
      <c r="H32" s="60"/>
    </row>
    <row r="33" spans="5:8" ht="16.5">
      <c r="E33" s="61"/>
      <c r="F33" s="61"/>
      <c r="G33" s="61"/>
      <c r="H33" s="61"/>
    </row>
    <row r="38" spans="1:6" ht="16.5">
      <c r="A38" s="53"/>
      <c r="B38" s="53"/>
      <c r="C38" s="53"/>
      <c r="D38" s="53"/>
      <c r="E38" s="53"/>
      <c r="F38" s="53"/>
    </row>
    <row r="39" ht="16.5">
      <c r="C39" s="48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7" spans="1:5" ht="16.5">
      <c r="A47" s="62" t="s">
        <v>26</v>
      </c>
      <c r="B47" s="62" t="s">
        <v>27</v>
      </c>
      <c r="C47" s="62" t="s">
        <v>28</v>
      </c>
      <c r="D47" s="62"/>
      <c r="E47" s="63"/>
    </row>
    <row r="48" spans="1:3" ht="17.25">
      <c r="A48" s="64">
        <f>+B12</f>
        <v>1567215</v>
      </c>
      <c r="B48" s="65">
        <f>+C12</f>
        <v>1023779.31</v>
      </c>
      <c r="C48" s="62" t="s">
        <v>1</v>
      </c>
    </row>
    <row r="49" spans="1:3" ht="17.25">
      <c r="A49" s="64">
        <f>+D12</f>
        <v>33506</v>
      </c>
      <c r="B49" s="65">
        <f>+E12</f>
        <v>36362.77</v>
      </c>
      <c r="C49" s="62" t="s">
        <v>2</v>
      </c>
    </row>
    <row r="50" spans="1:3" ht="17.25">
      <c r="A50" s="64">
        <f>+F12</f>
        <v>1618843</v>
      </c>
      <c r="B50" s="65">
        <f>+G12</f>
        <v>910150.62</v>
      </c>
      <c r="C50" s="62" t="s">
        <v>3</v>
      </c>
    </row>
    <row r="51" spans="1:3" ht="17.25">
      <c r="A51" s="64">
        <f>+H12</f>
        <v>1024519</v>
      </c>
      <c r="B51" s="65">
        <f>+I12</f>
        <v>1012352.57</v>
      </c>
      <c r="C51" s="62" t="s">
        <v>34</v>
      </c>
    </row>
    <row r="52" spans="1:3" ht="17.25">
      <c r="A52" s="64">
        <f>+J12</f>
        <v>130000</v>
      </c>
      <c r="B52" s="65">
        <f>+K12</f>
        <v>3451.82</v>
      </c>
      <c r="C52" s="62" t="s">
        <v>32</v>
      </c>
    </row>
    <row r="53" spans="1:3" ht="17.25">
      <c r="A53" s="66">
        <f>+L12</f>
        <v>416000</v>
      </c>
      <c r="B53" s="65">
        <f>+M12</f>
        <v>13887.48</v>
      </c>
      <c r="C53" s="62" t="s">
        <v>102</v>
      </c>
    </row>
    <row r="54" spans="1:3" ht="17.25">
      <c r="A54" s="64">
        <f>+N12</f>
        <v>200000</v>
      </c>
      <c r="B54" s="65">
        <f>+O12</f>
        <v>166056.77</v>
      </c>
      <c r="C54" s="62" t="s">
        <v>35</v>
      </c>
    </row>
    <row r="55" spans="1:3" ht="17.25">
      <c r="A55" s="64">
        <f>SUM(A48:A54)</f>
        <v>4990083</v>
      </c>
      <c r="B55" s="65">
        <f>SUM(B48:B54)</f>
        <v>3166041.34</v>
      </c>
      <c r="C55" s="62"/>
    </row>
    <row r="56" ht="16.5">
      <c r="B56" s="5"/>
    </row>
  </sheetData>
  <mergeCells count="10">
    <mergeCell ref="B2:G2"/>
    <mergeCell ref="K2:L2"/>
    <mergeCell ref="B3:D3"/>
    <mergeCell ref="J5:K5"/>
    <mergeCell ref="N5:O5"/>
    <mergeCell ref="B5:C5"/>
    <mergeCell ref="D5:E5"/>
    <mergeCell ref="F5:G5"/>
    <mergeCell ref="H5:I5"/>
    <mergeCell ref="L5:M5"/>
  </mergeCells>
  <printOptions/>
  <pageMargins left="0.93" right="0.45" top="0.95" bottom="0.58" header="0.41" footer="0"/>
  <pageSetup horizontalDpi="600" verticalDpi="6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7">
      <selection activeCell="C16" sqref="C16"/>
    </sheetView>
  </sheetViews>
  <sheetFormatPr defaultColWidth="11.421875" defaultRowHeight="15"/>
  <cols>
    <col min="1" max="1" width="20.57421875" style="1" customWidth="1"/>
    <col min="2" max="2" width="14.421875" style="1" customWidth="1"/>
    <col min="3" max="3" width="13.140625" style="1" customWidth="1"/>
    <col min="4" max="4" width="8.7109375" style="1" customWidth="1"/>
    <col min="5" max="5" width="13.140625" style="1" customWidth="1"/>
    <col min="6" max="6" width="12.28125" style="1" customWidth="1"/>
    <col min="7" max="7" width="13.00390625" style="1" customWidth="1"/>
    <col min="8" max="8" width="12.57421875" style="1" customWidth="1"/>
    <col min="9" max="9" width="12.28125" style="1" customWidth="1"/>
    <col min="10" max="10" width="13.28125" style="1" customWidth="1"/>
    <col min="11" max="11" width="12.57421875" style="1" customWidth="1"/>
    <col min="12" max="12" width="13.28125" style="1" customWidth="1"/>
    <col min="13" max="13" width="11.421875" style="1" customWidth="1"/>
    <col min="14" max="14" width="12.28125" style="1" bestFit="1" customWidth="1"/>
    <col min="15" max="16384" width="11.421875" style="1" customWidth="1"/>
  </cols>
  <sheetData>
    <row r="1" ht="16.5">
      <c r="A1" s="17" t="s">
        <v>41</v>
      </c>
    </row>
    <row r="2" spans="1:3" ht="18.75" thickBot="1">
      <c r="A2" s="18" t="s">
        <v>42</v>
      </c>
      <c r="C2" s="150">
        <v>40756</v>
      </c>
    </row>
    <row r="3" spans="1:12" ht="18" thickTop="1">
      <c r="A3" s="2" t="s">
        <v>43</v>
      </c>
      <c r="B3" s="153" t="s">
        <v>139</v>
      </c>
      <c r="C3" s="153" t="s">
        <v>25</v>
      </c>
      <c r="D3" s="153" t="s">
        <v>44</v>
      </c>
      <c r="E3" s="187" t="s">
        <v>45</v>
      </c>
      <c r="F3" s="188"/>
      <c r="G3" s="188"/>
      <c r="H3" s="188"/>
      <c r="I3" s="188"/>
      <c r="J3" s="188"/>
      <c r="K3" s="189"/>
      <c r="L3" s="155" t="s">
        <v>24</v>
      </c>
    </row>
    <row r="4" spans="1:12" ht="17.25">
      <c r="A4" s="3"/>
      <c r="B4" s="154" t="s">
        <v>140</v>
      </c>
      <c r="C4" s="154" t="s">
        <v>46</v>
      </c>
      <c r="D4" s="154" t="s">
        <v>47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48</v>
      </c>
      <c r="J4" s="4" t="s">
        <v>29</v>
      </c>
      <c r="K4" s="4" t="s">
        <v>35</v>
      </c>
      <c r="L4" s="156" t="s">
        <v>49</v>
      </c>
    </row>
    <row r="5" spans="1:12" ht="16.5">
      <c r="A5" s="157" t="s">
        <v>15</v>
      </c>
      <c r="B5" s="101">
        <f>+INT!P12+INT!Q12</f>
        <v>6331773</v>
      </c>
      <c r="C5" s="101">
        <f>SUM(E5:K5)</f>
        <v>3850323.4200000004</v>
      </c>
      <c r="D5" s="102">
        <f>+C5/B5</f>
        <v>0.6080956187153267</v>
      </c>
      <c r="E5" s="101">
        <f>+INT!C12</f>
        <v>1166664.26</v>
      </c>
      <c r="F5" s="101">
        <f>+INT!E$12</f>
        <v>25445.85</v>
      </c>
      <c r="G5" s="101">
        <f>+INT!G$12</f>
        <v>843388.48</v>
      </c>
      <c r="H5" s="101">
        <f>+INT!I$12</f>
        <v>1538474.23</v>
      </c>
      <c r="I5" s="101">
        <f>+INT!K$12</f>
        <v>10025.76</v>
      </c>
      <c r="J5" s="101">
        <f>+INT!M12</f>
        <v>61330.62</v>
      </c>
      <c r="K5" s="101">
        <f>+INT!O$12</f>
        <v>204994.22</v>
      </c>
      <c r="L5" s="103">
        <f>+B5-C5</f>
        <v>2481449.5799999996</v>
      </c>
    </row>
    <row r="6" spans="1:12" ht="16.5">
      <c r="A6" s="157" t="s">
        <v>16</v>
      </c>
      <c r="B6" s="101">
        <f>+GOB!P17+GOB!Q17</f>
        <v>9264863</v>
      </c>
      <c r="C6" s="101">
        <f>SUM(E6:K6)</f>
        <v>6085996.0200000005</v>
      </c>
      <c r="D6" s="102">
        <f>+C6/B6</f>
        <v>0.6568900176937318</v>
      </c>
      <c r="E6" s="101">
        <f>+GOB!C17</f>
        <v>3146135.63</v>
      </c>
      <c r="F6" s="101">
        <f>+GOB!E17</f>
        <v>89869.08</v>
      </c>
      <c r="G6" s="101">
        <f>+GOB!G17</f>
        <v>1544662.25</v>
      </c>
      <c r="H6" s="101">
        <f>+GOB!I17</f>
        <v>706789.82</v>
      </c>
      <c r="I6" s="101">
        <f>+GOB!K17</f>
        <v>141451.83</v>
      </c>
      <c r="J6" s="101">
        <f>+GOB!M17</f>
        <v>161100.37</v>
      </c>
      <c r="K6" s="101">
        <f>+GOB!O17</f>
        <v>295987.04000000004</v>
      </c>
      <c r="L6" s="103">
        <f>+B6-C6</f>
        <v>3178866.9799999995</v>
      </c>
    </row>
    <row r="7" spans="1:12" ht="16.5">
      <c r="A7" s="157" t="s">
        <v>17</v>
      </c>
      <c r="B7" s="101">
        <f>+SEH!P14+SEH!Q14</f>
        <v>7048092.000000001</v>
      </c>
      <c r="C7" s="101">
        <f>SUM(E7:K7)</f>
        <v>5230941.21</v>
      </c>
      <c r="D7" s="102">
        <f>+C7/B7</f>
        <v>0.742178338477988</v>
      </c>
      <c r="E7" s="101">
        <f>+SEH!C14</f>
        <v>2972629.34</v>
      </c>
      <c r="F7" s="101">
        <f>+SEH!E14</f>
        <v>525976.3600000001</v>
      </c>
      <c r="G7" s="101">
        <f>+SEH!G14</f>
        <v>1217614.96</v>
      </c>
      <c r="H7" s="101">
        <f>+SEH!I14</f>
        <v>714.56</v>
      </c>
      <c r="I7" s="101">
        <f>+SEH!K14</f>
        <v>158418.57</v>
      </c>
      <c r="J7" s="101">
        <f>+SEH!M14</f>
        <v>1857.55</v>
      </c>
      <c r="K7" s="101">
        <f>+SEH!O14</f>
        <v>353729.87000000005</v>
      </c>
      <c r="L7" s="103">
        <f>+B7-C7</f>
        <v>1817150.790000001</v>
      </c>
    </row>
    <row r="8" spans="1:12" ht="16.5">
      <c r="A8" s="157" t="s">
        <v>20</v>
      </c>
      <c r="B8" s="101">
        <f>+SAS!P13+SAS!Q13</f>
        <v>17310415</v>
      </c>
      <c r="C8" s="101">
        <f aca="true" t="shared" si="0" ref="C8:C15">SUM(E8:K8)</f>
        <v>13930922.549999997</v>
      </c>
      <c r="D8" s="102">
        <f aca="true" t="shared" si="1" ref="D8:D15">+C8/B8</f>
        <v>0.8047711478898685</v>
      </c>
      <c r="E8" s="101">
        <f>+SAS!C13</f>
        <v>5730079.909999999</v>
      </c>
      <c r="F8" s="101">
        <f>+SAS!E13</f>
        <v>89752.22</v>
      </c>
      <c r="G8" s="101">
        <f>+SAS!G13</f>
        <v>1886954.2</v>
      </c>
      <c r="H8" s="101">
        <f>+SAS!I13</f>
        <v>5494143.069999999</v>
      </c>
      <c r="I8" s="101">
        <f>+SAS!K13</f>
        <v>56593.939999999995</v>
      </c>
      <c r="J8" s="101">
        <f>+SAS!M13</f>
        <v>15302.92</v>
      </c>
      <c r="K8" s="101">
        <f>+SAS!O13</f>
        <v>658096.2899999999</v>
      </c>
      <c r="L8" s="103">
        <f aca="true" t="shared" si="2" ref="L8:L15">+B8-C8</f>
        <v>3379492.450000003</v>
      </c>
    </row>
    <row r="9" spans="1:12" ht="16.5">
      <c r="A9" s="157" t="s">
        <v>18</v>
      </c>
      <c r="B9" s="101">
        <f>+SOP!P12+SOP!Q12</f>
        <v>21968670</v>
      </c>
      <c r="C9" s="101">
        <f t="shared" si="0"/>
        <v>20130670.03</v>
      </c>
      <c r="D9" s="102">
        <f t="shared" si="1"/>
        <v>0.9163354008230813</v>
      </c>
      <c r="E9" s="101">
        <f>+SOP!C12</f>
        <v>2540162.54</v>
      </c>
      <c r="F9" s="101">
        <f>+SOP!E12</f>
        <v>354993.87</v>
      </c>
      <c r="G9" s="101">
        <f>+SOP!G12</f>
        <v>999251.31</v>
      </c>
      <c r="H9" s="101">
        <f>+SOP!I12</f>
        <v>21906</v>
      </c>
      <c r="I9" s="101">
        <f>+SOP!K12</f>
        <v>189787.81</v>
      </c>
      <c r="J9" s="101">
        <f>+SOP!M12</f>
        <v>15592436.370000001</v>
      </c>
      <c r="K9" s="101">
        <f>+SOP!O12</f>
        <v>432132.13</v>
      </c>
      <c r="L9" s="103">
        <f t="shared" si="2"/>
        <v>1837999.9699999988</v>
      </c>
    </row>
    <row r="10" spans="1:12" ht="16.5">
      <c r="A10" s="157" t="s">
        <v>85</v>
      </c>
      <c r="B10" s="101">
        <f>+SFOI!P13+SFOI!Q13</f>
        <v>14724178</v>
      </c>
      <c r="C10" s="101">
        <f t="shared" si="0"/>
        <v>10084111.8</v>
      </c>
      <c r="D10" s="102">
        <f t="shared" si="1"/>
        <v>0.6848675559341921</v>
      </c>
      <c r="E10" s="101">
        <f>+SFOI!C13</f>
        <v>6818916.62</v>
      </c>
      <c r="F10" s="101">
        <f>+SFOI!E13</f>
        <v>280123.86</v>
      </c>
      <c r="G10" s="101">
        <f>+SFOI!G13</f>
        <v>2163297.95</v>
      </c>
      <c r="H10" s="101">
        <f>+SFOI!I13</f>
        <v>0</v>
      </c>
      <c r="I10" s="101">
        <f>+SFOI!K13</f>
        <v>68818.05</v>
      </c>
      <c r="J10" s="101">
        <f>+SFOI!M13</f>
        <v>11432.23</v>
      </c>
      <c r="K10" s="101">
        <f>+SFOI!O13</f>
        <v>741523.09</v>
      </c>
      <c r="L10" s="103">
        <f t="shared" si="2"/>
        <v>4640066.199999999</v>
      </c>
    </row>
    <row r="11" spans="1:12" ht="16.5">
      <c r="A11" s="157" t="s">
        <v>21</v>
      </c>
      <c r="B11" s="101">
        <f>+'CD'!P12+'CD'!Q12</f>
        <v>1601225</v>
      </c>
      <c r="C11" s="101">
        <f t="shared" si="0"/>
        <v>971556.57</v>
      </c>
      <c r="D11" s="102">
        <f t="shared" si="1"/>
        <v>0.6067583069212634</v>
      </c>
      <c r="E11" s="101">
        <f>+'CD'!C12</f>
        <v>665350.1299999999</v>
      </c>
      <c r="F11" s="101">
        <f>+'CD'!E12</f>
        <v>18428.55</v>
      </c>
      <c r="G11" s="101">
        <f>+'CD'!G12</f>
        <v>64582.880000000005</v>
      </c>
      <c r="H11" s="101">
        <f>+'CD'!I12</f>
        <v>165180.72999999998</v>
      </c>
      <c r="I11" s="101">
        <f>+'CD'!K12</f>
        <v>3211.43</v>
      </c>
      <c r="J11" s="101">
        <f>+'CD'!M12</f>
        <v>0</v>
      </c>
      <c r="K11" s="101">
        <f>+'CD'!O12</f>
        <v>54802.850000000006</v>
      </c>
      <c r="L11" s="103">
        <f t="shared" si="2"/>
        <v>629668.43</v>
      </c>
    </row>
    <row r="12" spans="1:12" ht="16.5">
      <c r="A12" s="157" t="s">
        <v>22</v>
      </c>
      <c r="B12" s="101">
        <f>+'CM'!N12+'CM'!O12</f>
        <v>464823</v>
      </c>
      <c r="C12" s="101">
        <f t="shared" si="0"/>
        <v>284470.73000000004</v>
      </c>
      <c r="D12" s="102">
        <f t="shared" si="1"/>
        <v>0.6119979648167153</v>
      </c>
      <c r="E12" s="101">
        <f>+'CM'!C12</f>
        <v>218539.88</v>
      </c>
      <c r="F12" s="101">
        <f>+'CM'!E12</f>
        <v>101.2</v>
      </c>
      <c r="G12" s="101">
        <f>+'CM'!G12</f>
        <v>38174.4</v>
      </c>
      <c r="H12" s="101">
        <f>+'CM'!I12</f>
        <v>0</v>
      </c>
      <c r="I12" s="101">
        <f>+'CM'!K12</f>
        <v>8271.81</v>
      </c>
      <c r="J12" s="101">
        <v>0</v>
      </c>
      <c r="K12" s="101">
        <f>+'CM'!M12</f>
        <v>19383.44</v>
      </c>
      <c r="L12" s="103">
        <f t="shared" si="2"/>
        <v>180352.26999999996</v>
      </c>
    </row>
    <row r="13" spans="1:12" ht="16.5">
      <c r="A13" s="157" t="s">
        <v>19</v>
      </c>
      <c r="B13" s="101">
        <f>+SSP!P13+SSP!Q13</f>
        <v>24918042</v>
      </c>
      <c r="C13" s="101">
        <f t="shared" si="0"/>
        <v>20694813.080000002</v>
      </c>
      <c r="D13" s="102">
        <f t="shared" si="1"/>
        <v>0.8305152178489787</v>
      </c>
      <c r="E13" s="101">
        <f>+SSP!C13</f>
        <v>11598292.459999999</v>
      </c>
      <c r="F13" s="101">
        <f>+SSP!E13</f>
        <v>3098193.32</v>
      </c>
      <c r="G13" s="101">
        <f>+SSP!G13</f>
        <v>3663300.4</v>
      </c>
      <c r="H13" s="101">
        <f>+SSP!I13</f>
        <v>106134.79999999999</v>
      </c>
      <c r="I13" s="101">
        <f>+SSP!K13</f>
        <v>172017.73</v>
      </c>
      <c r="J13" s="101">
        <f>+SSP!M13</f>
        <v>980389.51</v>
      </c>
      <c r="K13" s="101">
        <f>+SSP!O13</f>
        <v>1076484.86</v>
      </c>
      <c r="L13" s="103">
        <f t="shared" si="2"/>
        <v>4223228.919999998</v>
      </c>
    </row>
    <row r="14" spans="1:12" ht="16.5">
      <c r="A14" s="157" t="s">
        <v>126</v>
      </c>
      <c r="B14" s="101">
        <f>+CULTURA!P16+CULTURA!Q16</f>
        <v>3446536</v>
      </c>
      <c r="C14" s="101">
        <f t="shared" si="0"/>
        <v>2477718.5999999996</v>
      </c>
      <c r="D14" s="102">
        <f t="shared" si="1"/>
        <v>0.7189011227504949</v>
      </c>
      <c r="E14" s="101">
        <f>+CULTURA!C16</f>
        <v>1142425.85</v>
      </c>
      <c r="F14" s="101">
        <f>+CULTURA!E16</f>
        <v>29505.6</v>
      </c>
      <c r="G14" s="101">
        <f>+CULTURA!G16</f>
        <v>917016.8899999999</v>
      </c>
      <c r="H14" s="101">
        <f>+CULTURA!I16</f>
        <v>231351.81</v>
      </c>
      <c r="I14" s="101">
        <f>+CULTURA!K16</f>
        <v>1261.44</v>
      </c>
      <c r="J14" s="101">
        <f>+CULTURA!M16</f>
        <v>32151.92</v>
      </c>
      <c r="K14" s="101">
        <f>+CULTURA!O16</f>
        <v>124005.09</v>
      </c>
      <c r="L14" s="103">
        <f t="shared" si="2"/>
        <v>968817.4000000004</v>
      </c>
    </row>
    <row r="15" spans="1:12" ht="16.5">
      <c r="A15" s="157" t="s">
        <v>127</v>
      </c>
      <c r="B15" s="101">
        <f>+DEPORTES!P12+DEPORTES!Q12</f>
        <v>4990083</v>
      </c>
      <c r="C15" s="101">
        <f t="shared" si="0"/>
        <v>3166041.34</v>
      </c>
      <c r="D15" s="102">
        <f t="shared" si="1"/>
        <v>0.6344666691916747</v>
      </c>
      <c r="E15" s="101">
        <f>+DEPORTES!C12</f>
        <v>1023779.31</v>
      </c>
      <c r="F15" s="101">
        <f>+DEPORTES!E12</f>
        <v>36362.77</v>
      </c>
      <c r="G15" s="101">
        <f>+DEPORTES!G12</f>
        <v>910150.62</v>
      </c>
      <c r="H15" s="101">
        <f>+DEPORTES!I12</f>
        <v>1012352.57</v>
      </c>
      <c r="I15" s="101">
        <f>+DEPORTES!K12</f>
        <v>3451.82</v>
      </c>
      <c r="J15" s="101">
        <f>+DEPORTES!M12</f>
        <v>13887.48</v>
      </c>
      <c r="K15" s="101">
        <f>+DEPORTES!O12</f>
        <v>166056.77</v>
      </c>
      <c r="L15" s="103">
        <f t="shared" si="2"/>
        <v>1824041.6600000001</v>
      </c>
    </row>
    <row r="16" spans="1:12" ht="17.25">
      <c r="A16" s="16" t="s">
        <v>11</v>
      </c>
      <c r="B16" s="11">
        <f>SUM(B5:B15)</f>
        <v>112068700</v>
      </c>
      <c r="C16" s="11">
        <f>SUM(C5:C15)</f>
        <v>86907565.35</v>
      </c>
      <c r="D16" s="12">
        <f>+C16/B16</f>
        <v>0.7754847281176634</v>
      </c>
      <c r="E16" s="11">
        <f aca="true" t="shared" si="3" ref="E16:L16">SUM(E5:E15)</f>
        <v>37022975.93</v>
      </c>
      <c r="F16" s="11">
        <f t="shared" si="3"/>
        <v>4548752.679999999</v>
      </c>
      <c r="G16" s="11">
        <f t="shared" si="3"/>
        <v>14248394.34</v>
      </c>
      <c r="H16" s="11">
        <f t="shared" si="3"/>
        <v>9277047.59</v>
      </c>
      <c r="I16" s="11">
        <f t="shared" si="3"/>
        <v>813310.1900000001</v>
      </c>
      <c r="J16" s="11">
        <f t="shared" si="3"/>
        <v>16869888.970000006</v>
      </c>
      <c r="K16" s="11">
        <f t="shared" si="3"/>
        <v>4127195.65</v>
      </c>
      <c r="L16" s="19">
        <f t="shared" si="3"/>
        <v>25161134.649999995</v>
      </c>
    </row>
    <row r="17" spans="1:12" ht="18" thickBot="1">
      <c r="A17" s="15" t="s">
        <v>50</v>
      </c>
      <c r="B17" s="6"/>
      <c r="C17" s="7"/>
      <c r="D17" s="8"/>
      <c r="E17" s="13">
        <f>+E16/53000000</f>
        <v>0.6985467156603774</v>
      </c>
      <c r="F17" s="14">
        <f>+F16/(4458488+200000)</f>
        <v>0.9764440050076331</v>
      </c>
      <c r="G17" s="14">
        <f>+G16/(16737225+3000000)</f>
        <v>0.7219046416099527</v>
      </c>
      <c r="H17" s="14">
        <f>+H16/(8080908+2000000)</f>
        <v>0.9202591264596404</v>
      </c>
      <c r="I17" s="14">
        <f>+I16/(1605720+750000+500000)</f>
        <v>0.2848003970977547</v>
      </c>
      <c r="J17" s="14">
        <f>+J16/17401959</f>
        <v>0.9694247050001673</v>
      </c>
      <c r="K17" s="14">
        <f>+K16/(3210000+1124400)</f>
        <v>0.9521953788298265</v>
      </c>
      <c r="L17" s="9"/>
    </row>
    <row r="18" spans="2:12" ht="17.25" thickTop="1">
      <c r="B18" s="5"/>
      <c r="C18" s="52"/>
      <c r="D18" s="5"/>
      <c r="L18" s="5"/>
    </row>
    <row r="19" spans="8:11" ht="16.5">
      <c r="H19" s="5"/>
      <c r="I19" s="5"/>
      <c r="J19" s="5"/>
      <c r="K19" s="128" t="s">
        <v>51</v>
      </c>
    </row>
    <row r="20" ht="16.5">
      <c r="K20" s="128"/>
    </row>
    <row r="21" ht="16.5">
      <c r="K21" s="129" t="s">
        <v>52</v>
      </c>
    </row>
    <row r="22" ht="16.5">
      <c r="K22" s="128"/>
    </row>
    <row r="23" ht="16.5">
      <c r="K23" s="151" t="s">
        <v>53</v>
      </c>
    </row>
    <row r="24" ht="16.5">
      <c r="K24" s="128"/>
    </row>
    <row r="25" ht="16.5">
      <c r="K25" s="130" t="s">
        <v>54</v>
      </c>
    </row>
    <row r="26" ht="16.5">
      <c r="K26" s="128"/>
    </row>
    <row r="27" ht="16.5">
      <c r="K27" s="135" t="s">
        <v>55</v>
      </c>
    </row>
    <row r="28" ht="16.5">
      <c r="K28" s="128"/>
    </row>
    <row r="29" ht="16.5">
      <c r="K29" s="131" t="s">
        <v>56</v>
      </c>
    </row>
    <row r="30" ht="16.5">
      <c r="K30" s="128"/>
    </row>
    <row r="31" ht="16.5">
      <c r="K31" s="132" t="s">
        <v>57</v>
      </c>
    </row>
    <row r="32" ht="16.5">
      <c r="K32" s="128"/>
    </row>
    <row r="33" ht="16.5">
      <c r="K33" s="133" t="s">
        <v>58</v>
      </c>
    </row>
    <row r="34" ht="16.5">
      <c r="K34" s="128"/>
    </row>
    <row r="35" ht="16.5">
      <c r="K35" s="134" t="s">
        <v>59</v>
      </c>
    </row>
    <row r="60" spans="5:13" ht="16.5">
      <c r="E60" s="1" t="s">
        <v>59</v>
      </c>
      <c r="F60" s="1" t="s">
        <v>58</v>
      </c>
      <c r="G60" s="1" t="s">
        <v>57</v>
      </c>
      <c r="H60" s="1" t="s">
        <v>60</v>
      </c>
      <c r="I60" s="1" t="s">
        <v>61</v>
      </c>
      <c r="J60" s="1" t="s">
        <v>62</v>
      </c>
      <c r="K60" s="1" t="s">
        <v>53</v>
      </c>
      <c r="L60" s="1" t="s">
        <v>63</v>
      </c>
      <c r="M60" s="1" t="s">
        <v>64</v>
      </c>
    </row>
    <row r="61" spans="1:13" ht="16.5">
      <c r="A61" s="1" t="s">
        <v>65</v>
      </c>
      <c r="E61" s="10">
        <f>+E5/B5</f>
        <v>0.18425554106251124</v>
      </c>
      <c r="F61" s="10">
        <f aca="true" t="shared" si="4" ref="F61:L61">+F5/$B$5</f>
        <v>0.004018755884015425</v>
      </c>
      <c r="G61" s="10">
        <f t="shared" si="4"/>
        <v>0.13319941823561898</v>
      </c>
      <c r="H61" s="10">
        <f t="shared" si="4"/>
        <v>0.2429768455059902</v>
      </c>
      <c r="I61" s="10">
        <f t="shared" si="4"/>
        <v>0.0015834048377918791</v>
      </c>
      <c r="J61" s="10">
        <f t="shared" si="4"/>
        <v>0.009686168471295482</v>
      </c>
      <c r="K61" s="10">
        <f t="shared" si="4"/>
        <v>0.03237548471810345</v>
      </c>
      <c r="L61" s="10">
        <f t="shared" si="4"/>
        <v>0.3919043812846733</v>
      </c>
      <c r="M61" s="10">
        <f>SUM(E61:L61)</f>
        <v>0.9999999999999999</v>
      </c>
    </row>
    <row r="62" spans="1:13" ht="16.5">
      <c r="A62" s="1" t="s">
        <v>95</v>
      </c>
      <c r="E62" s="10">
        <f>+E6/B6</f>
        <v>0.33957713459983163</v>
      </c>
      <c r="F62" s="10">
        <f>+F6/B6</f>
        <v>0.00969999016715088</v>
      </c>
      <c r="G62" s="10">
        <f>+G6/B6</f>
        <v>0.1667226218023947</v>
      </c>
      <c r="H62" s="10">
        <f>+H6/B6</f>
        <v>0.076287131282999</v>
      </c>
      <c r="I62" s="10">
        <f>+I6/B6</f>
        <v>0.015267557653038149</v>
      </c>
      <c r="J62" s="10">
        <f>+J6/B6</f>
        <v>0.017388316481312244</v>
      </c>
      <c r="K62" s="10">
        <f>+K6/B6</f>
        <v>0.03194726570700506</v>
      </c>
      <c r="L62" s="10">
        <f>+L6/B6</f>
        <v>0.34310998230626827</v>
      </c>
      <c r="M62" s="10">
        <f>SUM(E62:L62)</f>
        <v>0.9999999999999998</v>
      </c>
    </row>
    <row r="63" spans="1:13" ht="16.5">
      <c r="A63" s="1" t="s">
        <v>96</v>
      </c>
      <c r="E63" s="10">
        <f>+E7/B7</f>
        <v>0.4217636971821593</v>
      </c>
      <c r="F63" s="10">
        <f>+F7/B7</f>
        <v>0.0746267727492774</v>
      </c>
      <c r="G63" s="10">
        <f>+G7/B7</f>
        <v>0.17275809680123355</v>
      </c>
      <c r="H63" s="10">
        <f>+H7/B7</f>
        <v>0.0001013834666176321</v>
      </c>
      <c r="I63" s="10">
        <f>+I7/B7</f>
        <v>0.02247680223243397</v>
      </c>
      <c r="J63" s="10">
        <f>+J7/B7</f>
        <v>0.00026355359720049053</v>
      </c>
      <c r="K63" s="10">
        <f>+K7/B7</f>
        <v>0.050188032449065646</v>
      </c>
      <c r="L63" s="10">
        <f>+L7/B7</f>
        <v>0.257821661522012</v>
      </c>
      <c r="M63" s="10">
        <f>SUM(E63:L63)</f>
        <v>1</v>
      </c>
    </row>
    <row r="64" spans="1:13" ht="16.5">
      <c r="A64" s="1" t="s">
        <v>66</v>
      </c>
      <c r="E64" s="10">
        <f aca="true" t="shared" si="5" ref="E64:L64">+E8/$B$8</f>
        <v>0.3310192106890562</v>
      </c>
      <c r="F64" s="10">
        <f t="shared" si="5"/>
        <v>0.005184868184847099</v>
      </c>
      <c r="G64" s="10">
        <f t="shared" si="5"/>
        <v>0.10900687245222024</v>
      </c>
      <c r="H64" s="10">
        <f t="shared" si="5"/>
        <v>0.31738944849098066</v>
      </c>
      <c r="I64" s="10">
        <f t="shared" si="5"/>
        <v>0.0032693577825834907</v>
      </c>
      <c r="J64" s="10">
        <f t="shared" si="5"/>
        <v>0.0008840296434256486</v>
      </c>
      <c r="K64" s="10">
        <f t="shared" si="5"/>
        <v>0.03801736064675514</v>
      </c>
      <c r="L64" s="10">
        <f t="shared" si="5"/>
        <v>0.19522885211013155</v>
      </c>
      <c r="M64" s="10">
        <f aca="true" t="shared" si="6" ref="M64:M71">SUM(E64:L64)</f>
        <v>1</v>
      </c>
    </row>
    <row r="65" spans="1:13" ht="16.5">
      <c r="A65" s="1" t="s">
        <v>67</v>
      </c>
      <c r="E65" s="10">
        <f>+E9/$B$9</f>
        <v>0.11562659642117616</v>
      </c>
      <c r="F65" s="10">
        <f aca="true" t="shared" si="7" ref="F65:L65">+F9/$B$9</f>
        <v>0.016159097023169814</v>
      </c>
      <c r="G65" s="10">
        <f t="shared" si="7"/>
        <v>0.045485289277867075</v>
      </c>
      <c r="H65" s="10">
        <f t="shared" si="7"/>
        <v>0.000997147301133842</v>
      </c>
      <c r="I65" s="10">
        <f t="shared" si="7"/>
        <v>0.008639021388185994</v>
      </c>
      <c r="J65" s="10">
        <f t="shared" si="7"/>
        <v>0.7097578674539697</v>
      </c>
      <c r="K65" s="10">
        <f t="shared" si="7"/>
        <v>0.01967038195757868</v>
      </c>
      <c r="L65" s="10">
        <f t="shared" si="7"/>
        <v>0.08366459917691871</v>
      </c>
      <c r="M65" s="10">
        <f t="shared" si="6"/>
        <v>1</v>
      </c>
    </row>
    <row r="66" spans="1:13" ht="16.5">
      <c r="A66" s="1" t="s">
        <v>70</v>
      </c>
      <c r="E66" s="10">
        <f>+E10/$B$10</f>
        <v>0.46311017294140294</v>
      </c>
      <c r="F66" s="10">
        <f aca="true" t="shared" si="8" ref="F66:L66">+F10/$B$10</f>
        <v>0.019024753707813095</v>
      </c>
      <c r="G66" s="10">
        <f t="shared" si="8"/>
        <v>0.14692147500526007</v>
      </c>
      <c r="H66" s="10">
        <f t="shared" si="8"/>
        <v>0</v>
      </c>
      <c r="I66" s="10">
        <f t="shared" si="8"/>
        <v>0.004673812690935956</v>
      </c>
      <c r="J66" s="10">
        <f t="shared" si="8"/>
        <v>0.0007764256856987195</v>
      </c>
      <c r="K66" s="10">
        <f t="shared" si="8"/>
        <v>0.05036091590308131</v>
      </c>
      <c r="L66" s="10">
        <f t="shared" si="8"/>
        <v>0.3151324440658079</v>
      </c>
      <c r="M66" s="10">
        <f t="shared" si="6"/>
        <v>1</v>
      </c>
    </row>
    <row r="67" spans="1:13" ht="16.5">
      <c r="A67" s="1" t="s">
        <v>68</v>
      </c>
      <c r="E67" s="10">
        <f>+E11/$B$11</f>
        <v>0.4155256943902324</v>
      </c>
      <c r="F67" s="10">
        <f aca="true" t="shared" si="9" ref="F67:L67">+F11/$B$11</f>
        <v>0.011509032147262252</v>
      </c>
      <c r="G67" s="10">
        <f t="shared" si="9"/>
        <v>0.04033341972552265</v>
      </c>
      <c r="H67" s="10">
        <f t="shared" si="9"/>
        <v>0.10315897515964338</v>
      </c>
      <c r="I67" s="10">
        <f t="shared" si="9"/>
        <v>0.002005608206217115</v>
      </c>
      <c r="J67" s="10">
        <f t="shared" si="9"/>
        <v>0</v>
      </c>
      <c r="K67" s="10">
        <f t="shared" si="9"/>
        <v>0.03422557729238552</v>
      </c>
      <c r="L67" s="10">
        <f t="shared" si="9"/>
        <v>0.39324169307873663</v>
      </c>
      <c r="M67" s="10">
        <f t="shared" si="6"/>
        <v>0.9999999999999998</v>
      </c>
    </row>
    <row r="68" spans="1:13" ht="16.5">
      <c r="A68" s="1" t="s">
        <v>99</v>
      </c>
      <c r="E68" s="10">
        <f>+E12/$B$12</f>
        <v>0.4701571996222218</v>
      </c>
      <c r="F68" s="10">
        <f aca="true" t="shared" si="10" ref="F68:L68">+F12/$B$12</f>
        <v>0.00021771728163193303</v>
      </c>
      <c r="G68" s="10">
        <f t="shared" si="10"/>
        <v>0.08212674501907177</v>
      </c>
      <c r="H68" s="10">
        <f t="shared" si="10"/>
        <v>0</v>
      </c>
      <c r="I68" s="10">
        <f t="shared" si="10"/>
        <v>0.017795612523476678</v>
      </c>
      <c r="J68" s="10">
        <f t="shared" si="10"/>
        <v>0</v>
      </c>
      <c r="K68" s="10">
        <f t="shared" si="10"/>
        <v>0.041700690370313</v>
      </c>
      <c r="L68" s="10">
        <f t="shared" si="10"/>
        <v>0.38800203518328474</v>
      </c>
      <c r="M68" s="10">
        <f t="shared" si="6"/>
        <v>1</v>
      </c>
    </row>
    <row r="69" spans="1:13" ht="16.5">
      <c r="A69" s="1" t="s">
        <v>71</v>
      </c>
      <c r="E69" s="10">
        <f>+E13/$B$13</f>
        <v>0.46545761741632824</v>
      </c>
      <c r="F69" s="10">
        <f aca="true" t="shared" si="11" ref="F69:L69">+F13/$B$13</f>
        <v>0.12433534384443207</v>
      </c>
      <c r="G69" s="10">
        <f t="shared" si="11"/>
        <v>0.1470139748540435</v>
      </c>
      <c r="H69" s="10">
        <f t="shared" si="11"/>
        <v>0.004259355530422494</v>
      </c>
      <c r="I69" s="10">
        <f t="shared" si="11"/>
        <v>0.006903340559422768</v>
      </c>
      <c r="J69" s="10">
        <f t="shared" si="11"/>
        <v>0.03934456447260182</v>
      </c>
      <c r="K69" s="10">
        <f t="shared" si="11"/>
        <v>0.0432010211717277</v>
      </c>
      <c r="L69" s="10">
        <f t="shared" si="11"/>
        <v>0.16948478215102125</v>
      </c>
      <c r="M69" s="10">
        <f t="shared" si="6"/>
        <v>0.9999999999999998</v>
      </c>
    </row>
    <row r="70" spans="1:13" ht="16.5">
      <c r="A70" s="1" t="s">
        <v>72</v>
      </c>
      <c r="E70" s="10">
        <f>+E14/$B$14</f>
        <v>0.331470743378279</v>
      </c>
      <c r="F70" s="10">
        <f aca="true" t="shared" si="12" ref="F70:L70">+F14/$B$14</f>
        <v>0.008560943509657233</v>
      </c>
      <c r="G70" s="10">
        <f t="shared" si="12"/>
        <v>0.26606914594827963</v>
      </c>
      <c r="H70" s="10">
        <f t="shared" si="12"/>
        <v>0.0671258939410469</v>
      </c>
      <c r="I70" s="10">
        <f t="shared" si="12"/>
        <v>0.0003660022701054044</v>
      </c>
      <c r="J70" s="10">
        <f t="shared" si="12"/>
        <v>0.009328763721023078</v>
      </c>
      <c r="K70" s="10">
        <f t="shared" si="12"/>
        <v>0.03597962998210377</v>
      </c>
      <c r="L70" s="10">
        <f t="shared" si="12"/>
        <v>0.2810988772495051</v>
      </c>
      <c r="M70" s="10">
        <f t="shared" si="6"/>
        <v>1</v>
      </c>
    </row>
    <row r="71" spans="1:13" ht="16.5">
      <c r="A71" s="1" t="s">
        <v>69</v>
      </c>
      <c r="E71" s="10">
        <f>+E15/$B$15</f>
        <v>0.20516278186154419</v>
      </c>
      <c r="F71" s="10">
        <f aca="true" t="shared" si="13" ref="F71:L71">+F15/$B$15</f>
        <v>0.007287007049782538</v>
      </c>
      <c r="G71" s="10">
        <f t="shared" si="13"/>
        <v>0.1823918800549009</v>
      </c>
      <c r="H71" s="10">
        <f t="shared" si="13"/>
        <v>0.20287289209417958</v>
      </c>
      <c r="I71" s="10">
        <f t="shared" si="13"/>
        <v>0.0006917359891609018</v>
      </c>
      <c r="J71" s="10">
        <f t="shared" si="13"/>
        <v>0.0027830158336043707</v>
      </c>
      <c r="K71" s="10">
        <f t="shared" si="13"/>
        <v>0.03327735630850228</v>
      </c>
      <c r="L71" s="10">
        <f t="shared" si="13"/>
        <v>0.3655333308083253</v>
      </c>
      <c r="M71" s="10">
        <f t="shared" si="6"/>
        <v>1</v>
      </c>
    </row>
  </sheetData>
  <mergeCells count="1">
    <mergeCell ref="E3:K3"/>
  </mergeCells>
  <printOptions horizontalCentered="1"/>
  <pageMargins left="0.84" right="0.23" top="0.75" bottom="0.25" header="0.39" footer="0"/>
  <pageSetup horizontalDpi="600" verticalDpi="600" orientation="landscape" paperSize="5" r:id="rId2"/>
  <headerFooter alignWithMargins="0">
    <oddHeader>&amp;C&amp;"Palatino Linotype,Negrita"&amp;8CONTADURIA MUNICIPAL&amp;"Garamond,Normal"&amp;11
&amp;"Haettenschweiler,Normal"&amp;9Presupuesto vs. Ejecución Presupuestaria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D15" sqref="D15"/>
    </sheetView>
  </sheetViews>
  <sheetFormatPr defaultColWidth="11.421875" defaultRowHeight="15"/>
  <cols>
    <col min="1" max="1" width="20.57421875" style="1" customWidth="1"/>
    <col min="2" max="2" width="14.28125" style="1" customWidth="1"/>
    <col min="3" max="4" width="13.140625" style="1" customWidth="1"/>
    <col min="5" max="5" width="7.7109375" style="1" customWidth="1"/>
    <col min="6" max="6" width="13.421875" style="1" customWidth="1"/>
    <col min="7" max="7" width="12.00390625" style="1" customWidth="1"/>
    <col min="8" max="10" width="12.7109375" style="1" customWidth="1"/>
    <col min="11" max="11" width="12.8515625" style="1" customWidth="1"/>
    <col min="12" max="12" width="12.140625" style="1" customWidth="1"/>
    <col min="13" max="13" width="13.421875" style="1" customWidth="1"/>
    <col min="14" max="14" width="11.421875" style="1" customWidth="1"/>
    <col min="15" max="15" width="12.28125" style="1" bestFit="1" customWidth="1"/>
    <col min="16" max="16384" width="11.421875" style="1" customWidth="1"/>
  </cols>
  <sheetData>
    <row r="1" ht="16.5">
      <c r="A1" s="17" t="s">
        <v>41</v>
      </c>
    </row>
    <row r="2" spans="1:4" ht="18.75" thickBot="1">
      <c r="A2" s="18" t="s">
        <v>42</v>
      </c>
      <c r="C2" s="150">
        <v>40756</v>
      </c>
      <c r="D2" s="150"/>
    </row>
    <row r="3" spans="1:13" ht="18" thickTop="1">
      <c r="A3" s="2" t="s">
        <v>43</v>
      </c>
      <c r="B3" s="153" t="s">
        <v>139</v>
      </c>
      <c r="C3" s="153" t="s">
        <v>25</v>
      </c>
      <c r="D3" s="153" t="s">
        <v>137</v>
      </c>
      <c r="E3" s="153" t="s">
        <v>44</v>
      </c>
      <c r="F3" s="187" t="s">
        <v>138</v>
      </c>
      <c r="G3" s="188"/>
      <c r="H3" s="188"/>
      <c r="I3" s="188"/>
      <c r="J3" s="188"/>
      <c r="K3" s="188"/>
      <c r="L3" s="189"/>
      <c r="M3" s="155" t="s">
        <v>24</v>
      </c>
    </row>
    <row r="4" spans="1:13" ht="17.25">
      <c r="A4" s="3"/>
      <c r="B4" s="154" t="s">
        <v>140</v>
      </c>
      <c r="C4" s="154" t="s">
        <v>46</v>
      </c>
      <c r="D4" s="154" t="s">
        <v>46</v>
      </c>
      <c r="E4" s="154" t="s">
        <v>5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48</v>
      </c>
      <c r="K4" s="4" t="s">
        <v>29</v>
      </c>
      <c r="L4" s="4" t="s">
        <v>35</v>
      </c>
      <c r="M4" s="156" t="s">
        <v>49</v>
      </c>
    </row>
    <row r="5" spans="1:13" ht="16.5">
      <c r="A5" s="157" t="s">
        <v>15</v>
      </c>
      <c r="B5" s="101">
        <f>+INT!P12+INT!Q12</f>
        <v>6331773</v>
      </c>
      <c r="C5" s="101">
        <f>SUM(F5:L5)-D5</f>
        <v>3850323.4200000004</v>
      </c>
      <c r="D5" s="101">
        <v>1611348.15</v>
      </c>
      <c r="E5" s="102">
        <f>(C5+D5)/B5</f>
        <v>0.8625817081566254</v>
      </c>
      <c r="F5" s="101">
        <f>+INT!C12</f>
        <v>1166664.26</v>
      </c>
      <c r="G5" s="101">
        <f>+INT!E$12</f>
        <v>25445.85</v>
      </c>
      <c r="H5" s="101">
        <f>+INT!G$12+490791.94</f>
        <v>1334180.42</v>
      </c>
      <c r="I5" s="101">
        <f>+INT!I$12+30641.36</f>
        <v>1569115.59</v>
      </c>
      <c r="J5" s="101">
        <f>+INT!K$12+1089914.85</f>
        <v>1099940.61</v>
      </c>
      <c r="K5" s="101">
        <f>+INT!M12</f>
        <v>61330.62</v>
      </c>
      <c r="L5" s="101">
        <f>+INT!O$12</f>
        <v>204994.22</v>
      </c>
      <c r="M5" s="103">
        <f>+B5-C5-D5</f>
        <v>870101.4299999997</v>
      </c>
    </row>
    <row r="6" spans="1:13" ht="16.5">
      <c r="A6" s="157" t="s">
        <v>16</v>
      </c>
      <c r="B6" s="101">
        <f>+GOB!P17+GOB!Q17</f>
        <v>9264863</v>
      </c>
      <c r="C6" s="101">
        <f aca="true" t="shared" si="0" ref="C6:C15">SUM(F6:L6)-D6</f>
        <v>6085996.0200000005</v>
      </c>
      <c r="D6" s="101">
        <v>944233.5</v>
      </c>
      <c r="E6" s="102">
        <f aca="true" t="shared" si="1" ref="E6:E15">(C6+D6)/B6</f>
        <v>0.7588055560022853</v>
      </c>
      <c r="F6" s="101">
        <f>+GOB!C17</f>
        <v>3146135.63</v>
      </c>
      <c r="G6" s="101">
        <f>+GOB!E17+9741.08</f>
        <v>99610.16</v>
      </c>
      <c r="H6" s="101">
        <f>+GOB!G17+894499.54</f>
        <v>2439161.79</v>
      </c>
      <c r="I6" s="101">
        <f>+GOB!I17+26792.88</f>
        <v>733582.7</v>
      </c>
      <c r="J6" s="101">
        <f>+GOB!K17+12850</f>
        <v>154301.83</v>
      </c>
      <c r="K6" s="101">
        <f>+GOB!M17+350</f>
        <v>161450.37</v>
      </c>
      <c r="L6" s="101">
        <f>+GOB!O17</f>
        <v>295987.04000000004</v>
      </c>
      <c r="M6" s="103">
        <f aca="true" t="shared" si="2" ref="M6:M15">+B6-C6-D6</f>
        <v>2234633.4799999995</v>
      </c>
    </row>
    <row r="7" spans="1:13" ht="16.5">
      <c r="A7" s="157" t="s">
        <v>17</v>
      </c>
      <c r="B7" s="101">
        <f>+SEH!P14+SEH!Q14</f>
        <v>7048092.000000001</v>
      </c>
      <c r="C7" s="101">
        <f t="shared" si="0"/>
        <v>5230941.209999999</v>
      </c>
      <c r="D7" s="101">
        <v>278715.9</v>
      </c>
      <c r="E7" s="102">
        <f t="shared" si="1"/>
        <v>0.7817232110477557</v>
      </c>
      <c r="F7" s="101">
        <f>+SEH!C14</f>
        <v>2972629.34</v>
      </c>
      <c r="G7" s="101">
        <f>+SEH!E14+9714.08</f>
        <v>535690.4400000001</v>
      </c>
      <c r="H7" s="101">
        <f>+SEH!G14+256838.82</f>
        <v>1474453.78</v>
      </c>
      <c r="I7" s="101">
        <f>+SEH!I14+7718</f>
        <v>8432.56</v>
      </c>
      <c r="J7" s="101">
        <f>+SEH!K14+4445</f>
        <v>162863.57</v>
      </c>
      <c r="K7" s="101">
        <f>+SEH!M14</f>
        <v>1857.55</v>
      </c>
      <c r="L7" s="101">
        <f>+SEH!O14</f>
        <v>353729.87000000005</v>
      </c>
      <c r="M7" s="103">
        <f t="shared" si="2"/>
        <v>1538434.890000002</v>
      </c>
    </row>
    <row r="8" spans="1:13" ht="16.5">
      <c r="A8" s="157" t="s">
        <v>20</v>
      </c>
      <c r="B8" s="101">
        <f>+SAS!P13+SAS!Q13</f>
        <v>17310415</v>
      </c>
      <c r="C8" s="101">
        <f t="shared" si="0"/>
        <v>13930922.549999997</v>
      </c>
      <c r="D8" s="101">
        <v>1179985.11</v>
      </c>
      <c r="E8" s="102">
        <f t="shared" si="1"/>
        <v>0.8729373420567904</v>
      </c>
      <c r="F8" s="101">
        <f>+SAS!C13</f>
        <v>5730079.909999999</v>
      </c>
      <c r="G8" s="101">
        <f>+SAS!E13+10813.25</f>
        <v>100565.47</v>
      </c>
      <c r="H8" s="101">
        <f>+SAS!G13+595170.85</f>
        <v>2482125.05</v>
      </c>
      <c r="I8" s="101">
        <f>+SAS!I13+570822.49</f>
        <v>6064965.56</v>
      </c>
      <c r="J8" s="101">
        <f>+SAS!K13+312</f>
        <v>56905.939999999995</v>
      </c>
      <c r="K8" s="101">
        <f>+SAS!M13+2866.52</f>
        <v>18169.44</v>
      </c>
      <c r="L8" s="101">
        <f>+SAS!O13</f>
        <v>658096.2899999999</v>
      </c>
      <c r="M8" s="103">
        <f t="shared" si="2"/>
        <v>2199507.3400000026</v>
      </c>
    </row>
    <row r="9" spans="1:13" ht="16.5">
      <c r="A9" s="157" t="s">
        <v>18</v>
      </c>
      <c r="B9" s="101">
        <f>+SOP!P12+SOP!Q12</f>
        <v>21968670</v>
      </c>
      <c r="C9" s="101">
        <f t="shared" si="0"/>
        <v>20130670.029999997</v>
      </c>
      <c r="D9" s="101">
        <v>562534.42</v>
      </c>
      <c r="E9" s="102">
        <f t="shared" si="1"/>
        <v>0.9419416127603537</v>
      </c>
      <c r="F9" s="101">
        <f>+SOP!C12</f>
        <v>2540162.54</v>
      </c>
      <c r="G9" s="101">
        <f>+SOP!E12+6608.71</f>
        <v>361602.58</v>
      </c>
      <c r="H9" s="101">
        <f>+SOP!G12+470274.48</f>
        <v>1469525.79</v>
      </c>
      <c r="I9" s="101">
        <f>+SOP!I12</f>
        <v>21906</v>
      </c>
      <c r="J9" s="101">
        <f>+SOP!K12+9132.55</f>
        <v>198920.36</v>
      </c>
      <c r="K9" s="101">
        <f>+SOP!M12+76518.68</f>
        <v>15668955.05</v>
      </c>
      <c r="L9" s="101">
        <f>+SOP!O12</f>
        <v>432132.13</v>
      </c>
      <c r="M9" s="103">
        <f t="shared" si="2"/>
        <v>1275465.5500000026</v>
      </c>
    </row>
    <row r="10" spans="1:13" ht="16.5">
      <c r="A10" s="157" t="s">
        <v>85</v>
      </c>
      <c r="B10" s="101">
        <f>+SFOI!P13+SFOI!Q13</f>
        <v>14724178</v>
      </c>
      <c r="C10" s="101">
        <f t="shared" si="0"/>
        <v>10084111.799999999</v>
      </c>
      <c r="D10" s="101">
        <v>549889.13</v>
      </c>
      <c r="E10" s="102">
        <f t="shared" si="1"/>
        <v>0.722213554468032</v>
      </c>
      <c r="F10" s="101">
        <f>+SFOI!C13</f>
        <v>6818916.62</v>
      </c>
      <c r="G10" s="101">
        <f>+SFOI!E13+2964.65</f>
        <v>283088.51</v>
      </c>
      <c r="H10" s="101">
        <f>+SFOI!G13+533485.34</f>
        <v>2696783.29</v>
      </c>
      <c r="I10" s="101">
        <f>+SFOI!I13</f>
        <v>0</v>
      </c>
      <c r="J10" s="101">
        <f>+SFOI!K13+6130.19</f>
        <v>74948.24</v>
      </c>
      <c r="K10" s="101">
        <f>+SFOI!M13+7308.95</f>
        <v>18741.18</v>
      </c>
      <c r="L10" s="101">
        <f>+SFOI!O13</f>
        <v>741523.09</v>
      </c>
      <c r="M10" s="103">
        <f t="shared" si="2"/>
        <v>4090177.070000001</v>
      </c>
    </row>
    <row r="11" spans="1:13" ht="16.5">
      <c r="A11" s="157" t="s">
        <v>21</v>
      </c>
      <c r="B11" s="101">
        <f>+'CD'!P12+'CD'!Q12</f>
        <v>1601225</v>
      </c>
      <c r="C11" s="101">
        <f t="shared" si="0"/>
        <v>971556.57</v>
      </c>
      <c r="D11" s="101">
        <v>13287.5</v>
      </c>
      <c r="E11" s="102">
        <f t="shared" si="1"/>
        <v>0.6150566410092273</v>
      </c>
      <c r="F11" s="101">
        <f>+'CD'!C12</f>
        <v>665350.1299999999</v>
      </c>
      <c r="G11" s="101">
        <f>+'CD'!E12+2997.5</f>
        <v>21426.05</v>
      </c>
      <c r="H11" s="101">
        <f>+'CD'!G12</f>
        <v>64582.880000000005</v>
      </c>
      <c r="I11" s="101">
        <f>+'CD'!I12+10290</f>
        <v>175470.72999999998</v>
      </c>
      <c r="J11" s="101">
        <f>+'CD'!K12</f>
        <v>3211.43</v>
      </c>
      <c r="K11" s="101">
        <f>+'CD'!M12</f>
        <v>0</v>
      </c>
      <c r="L11" s="101">
        <f>+'CD'!O12</f>
        <v>54802.850000000006</v>
      </c>
      <c r="M11" s="103">
        <f t="shared" si="2"/>
        <v>616380.93</v>
      </c>
    </row>
    <row r="12" spans="1:13" ht="16.5">
      <c r="A12" s="157" t="s">
        <v>22</v>
      </c>
      <c r="B12" s="101">
        <f>+'CM'!N12+'CM'!O12</f>
        <v>464823</v>
      </c>
      <c r="C12" s="101">
        <f t="shared" si="0"/>
        <v>284470.73000000004</v>
      </c>
      <c r="D12" s="101">
        <v>26000</v>
      </c>
      <c r="E12" s="102">
        <f t="shared" si="1"/>
        <v>0.667933234801204</v>
      </c>
      <c r="F12" s="101">
        <f>+'CM'!C12</f>
        <v>218539.88</v>
      </c>
      <c r="G12" s="101">
        <f>+'CM'!E12</f>
        <v>101.2</v>
      </c>
      <c r="H12" s="101">
        <f>+'CM'!G12+26000</f>
        <v>64174.4</v>
      </c>
      <c r="I12" s="101">
        <f>+'CM'!I12</f>
        <v>0</v>
      </c>
      <c r="J12" s="101">
        <f>+'CM'!K12</f>
        <v>8271.81</v>
      </c>
      <c r="K12" s="101">
        <v>0</v>
      </c>
      <c r="L12" s="101">
        <f>+'CM'!M12</f>
        <v>19383.44</v>
      </c>
      <c r="M12" s="103">
        <f t="shared" si="2"/>
        <v>154352.26999999996</v>
      </c>
    </row>
    <row r="13" spans="1:13" ht="16.5">
      <c r="A13" s="157" t="s">
        <v>19</v>
      </c>
      <c r="B13" s="101">
        <f>+SSP!P13+SSP!Q13</f>
        <v>24918042</v>
      </c>
      <c r="C13" s="101">
        <f t="shared" si="0"/>
        <v>20694813.08</v>
      </c>
      <c r="D13" s="101">
        <v>1667143.21</v>
      </c>
      <c r="E13" s="102">
        <f t="shared" si="1"/>
        <v>0.8974202824603955</v>
      </c>
      <c r="F13" s="101">
        <f>+SSP!C13</f>
        <v>11598292.459999999</v>
      </c>
      <c r="G13" s="101">
        <f>+SSP!E13+41551.72</f>
        <v>3139745.04</v>
      </c>
      <c r="H13" s="101">
        <f>+SSP!G13+1521309.08</f>
        <v>5184609.48</v>
      </c>
      <c r="I13" s="101">
        <f>+SSP!I13+40016.84</f>
        <v>146151.63999999998</v>
      </c>
      <c r="J13" s="101">
        <f>+SSP!K13+33252.65</f>
        <v>205270.38</v>
      </c>
      <c r="K13" s="101">
        <f>+SSP!M13+31012.92</f>
        <v>1011402.43</v>
      </c>
      <c r="L13" s="101">
        <f>+SSP!O13</f>
        <v>1076484.86</v>
      </c>
      <c r="M13" s="103">
        <f t="shared" si="2"/>
        <v>2556085.710000002</v>
      </c>
    </row>
    <row r="14" spans="1:13" ht="16.5">
      <c r="A14" s="157" t="s">
        <v>126</v>
      </c>
      <c r="B14" s="101">
        <f>+CULTURA!P16+CULTURA!Q16</f>
        <v>3446536</v>
      </c>
      <c r="C14" s="101">
        <f t="shared" si="0"/>
        <v>2477718.5999999996</v>
      </c>
      <c r="D14" s="101">
        <v>245670.8</v>
      </c>
      <c r="E14" s="102">
        <f t="shared" si="1"/>
        <v>0.7901816200382064</v>
      </c>
      <c r="F14" s="101">
        <f>+CULTURA!C16</f>
        <v>1142425.85</v>
      </c>
      <c r="G14" s="101">
        <f>+CULTURA!E16+3912.6</f>
        <v>33418.2</v>
      </c>
      <c r="H14" s="101">
        <f>+CULTURA!G16+236678.2</f>
        <v>1153695.0899999999</v>
      </c>
      <c r="I14" s="101">
        <f>+CULTURA!I16+4000</f>
        <v>235351.81</v>
      </c>
      <c r="J14" s="101">
        <f>+CULTURA!K16+1080</f>
        <v>2341.44</v>
      </c>
      <c r="K14" s="101">
        <f>+CULTURA!M16</f>
        <v>32151.92</v>
      </c>
      <c r="L14" s="101">
        <f>+CULTURA!O16</f>
        <v>124005.09</v>
      </c>
      <c r="M14" s="103">
        <f t="shared" si="2"/>
        <v>723146.6000000003</v>
      </c>
    </row>
    <row r="15" spans="1:13" ht="16.5">
      <c r="A15" s="157" t="s">
        <v>127</v>
      </c>
      <c r="B15" s="101">
        <f>+DEPORTES!P12+DEPORTES!Q12</f>
        <v>4990083</v>
      </c>
      <c r="C15" s="101">
        <f t="shared" si="0"/>
        <v>3166041.3400000003</v>
      </c>
      <c r="D15" s="101">
        <v>604858.4</v>
      </c>
      <c r="E15" s="102">
        <f t="shared" si="1"/>
        <v>0.7556787612550734</v>
      </c>
      <c r="F15" s="101">
        <f>+DEPORTES!C12</f>
        <v>1023779.31</v>
      </c>
      <c r="G15" s="101">
        <f>+DEPORTES!E12</f>
        <v>36362.77</v>
      </c>
      <c r="H15" s="101">
        <f>+DEPORTES!G12+410774.2</f>
        <v>1320924.82</v>
      </c>
      <c r="I15" s="101">
        <f>+DEPORTES!I12+9084.2</f>
        <v>1021436.7699999999</v>
      </c>
      <c r="J15" s="101">
        <f>+DEPORTES!K12+185000</f>
        <v>188451.82</v>
      </c>
      <c r="K15" s="101">
        <f>+DEPORTES!M12</f>
        <v>13887.48</v>
      </c>
      <c r="L15" s="101">
        <f>+DEPORTES!O12</f>
        <v>166056.77</v>
      </c>
      <c r="M15" s="103">
        <f t="shared" si="2"/>
        <v>1219183.2599999998</v>
      </c>
    </row>
    <row r="16" spans="1:13" ht="17.25">
      <c r="A16" s="16" t="s">
        <v>11</v>
      </c>
      <c r="B16" s="11">
        <f>SUM(B5:B15)</f>
        <v>112068700</v>
      </c>
      <c r="C16" s="11">
        <f>SUM(C5:C15)</f>
        <v>86907565.34999998</v>
      </c>
      <c r="D16" s="11">
        <f>SUM(D5:D15)</f>
        <v>7683666.12</v>
      </c>
      <c r="E16" s="12">
        <f>(C16+D16)/B16</f>
        <v>0.8440468343971151</v>
      </c>
      <c r="F16" s="11">
        <f aca="true" t="shared" si="3" ref="F16:M16">SUM(F5:F15)</f>
        <v>37022975.93</v>
      </c>
      <c r="G16" s="11">
        <f t="shared" si="3"/>
        <v>4637056.27</v>
      </c>
      <c r="H16" s="11">
        <f t="shared" si="3"/>
        <v>19684216.790000003</v>
      </c>
      <c r="I16" s="11">
        <f t="shared" si="3"/>
        <v>9976413.360000001</v>
      </c>
      <c r="J16" s="11">
        <f t="shared" si="3"/>
        <v>2155427.4299999997</v>
      </c>
      <c r="K16" s="11">
        <f t="shared" si="3"/>
        <v>16987946.040000003</v>
      </c>
      <c r="L16" s="11">
        <f t="shared" si="3"/>
        <v>4127195.65</v>
      </c>
      <c r="M16" s="19">
        <f t="shared" si="3"/>
        <v>17477468.53000001</v>
      </c>
    </row>
    <row r="17" spans="1:13" ht="18" thickBot="1">
      <c r="A17" s="15" t="s">
        <v>50</v>
      </c>
      <c r="B17" s="6"/>
      <c r="C17" s="7"/>
      <c r="D17" s="8"/>
      <c r="E17" s="8"/>
      <c r="F17" s="13">
        <f>+F16/53000000</f>
        <v>0.6985467156603774</v>
      </c>
      <c r="G17" s="14">
        <f>+G16/(4458488+200000)</f>
        <v>0.9953994235897998</v>
      </c>
      <c r="H17" s="14">
        <f>+H16/(16737225+3000000)</f>
        <v>0.9973143027958592</v>
      </c>
      <c r="I17" s="14">
        <f>+I16/(8080908+2000000)</f>
        <v>0.9896344019804566</v>
      </c>
      <c r="J17" s="14">
        <f>+J16/(1605720+750000+500000)</f>
        <v>0.7547754786883867</v>
      </c>
      <c r="K17" s="14">
        <f>+K16/17401959</f>
        <v>0.9762088302816944</v>
      </c>
      <c r="L17" s="14">
        <f>+L16/(3210000+1124400)</f>
        <v>0.9521953788298265</v>
      </c>
      <c r="M17" s="9"/>
    </row>
    <row r="18" spans="2:13" ht="17.25" thickTop="1">
      <c r="B18" s="5"/>
      <c r="C18" s="52"/>
      <c r="D18" s="52"/>
      <c r="E18" s="5"/>
      <c r="M18" s="5"/>
    </row>
    <row r="19" spans="9:12" ht="16.5">
      <c r="I19" s="5"/>
      <c r="J19" s="5"/>
      <c r="K19" s="5"/>
      <c r="L19" s="128" t="s">
        <v>51</v>
      </c>
    </row>
    <row r="20" ht="16.5">
      <c r="L20" s="128"/>
    </row>
    <row r="21" ht="16.5">
      <c r="L21" s="129" t="s">
        <v>52</v>
      </c>
    </row>
    <row r="22" ht="16.5">
      <c r="L22" s="128"/>
    </row>
    <row r="23" ht="16.5">
      <c r="L23" s="151" t="s">
        <v>53</v>
      </c>
    </row>
    <row r="24" ht="16.5">
      <c r="L24" s="128"/>
    </row>
    <row r="25" ht="16.5">
      <c r="L25" s="130" t="s">
        <v>54</v>
      </c>
    </row>
    <row r="26" ht="16.5">
      <c r="L26" s="128"/>
    </row>
    <row r="27" ht="16.5">
      <c r="L27" s="135" t="s">
        <v>55</v>
      </c>
    </row>
    <row r="28" ht="16.5">
      <c r="L28" s="128"/>
    </row>
    <row r="29" ht="16.5">
      <c r="L29" s="131" t="s">
        <v>56</v>
      </c>
    </row>
    <row r="30" ht="16.5">
      <c r="L30" s="128"/>
    </row>
    <row r="31" ht="16.5">
      <c r="L31" s="132" t="s">
        <v>57</v>
      </c>
    </row>
    <row r="32" ht="16.5">
      <c r="L32" s="128"/>
    </row>
    <row r="33" ht="16.5">
      <c r="L33" s="133" t="s">
        <v>58</v>
      </c>
    </row>
    <row r="34" ht="16.5">
      <c r="L34" s="128"/>
    </row>
    <row r="35" ht="16.5">
      <c r="L35" s="134" t="s">
        <v>59</v>
      </c>
    </row>
    <row r="60" spans="6:14" ht="16.5">
      <c r="F60" s="1" t="s">
        <v>59</v>
      </c>
      <c r="G60" s="1" t="s">
        <v>58</v>
      </c>
      <c r="H60" s="1" t="s">
        <v>57</v>
      </c>
      <c r="I60" s="1" t="s">
        <v>60</v>
      </c>
      <c r="J60" s="1" t="s">
        <v>61</v>
      </c>
      <c r="K60" s="1" t="s">
        <v>62</v>
      </c>
      <c r="L60" s="1" t="s">
        <v>53</v>
      </c>
      <c r="M60" s="1" t="s">
        <v>63</v>
      </c>
      <c r="N60" s="1" t="s">
        <v>64</v>
      </c>
    </row>
    <row r="61" spans="1:14" ht="16.5">
      <c r="A61" s="1" t="s">
        <v>65</v>
      </c>
      <c r="F61" s="10">
        <f>+F5/B5</f>
        <v>0.18425554106251124</v>
      </c>
      <c r="G61" s="10">
        <f aca="true" t="shared" si="4" ref="G61:M61">+G5/$B$5</f>
        <v>0.004018755884015425</v>
      </c>
      <c r="H61" s="10">
        <f t="shared" si="4"/>
        <v>0.21071197909337558</v>
      </c>
      <c r="I61" s="10">
        <f t="shared" si="4"/>
        <v>0.24781614723079934</v>
      </c>
      <c r="J61" s="10">
        <f t="shared" si="4"/>
        <v>0.17371763169652482</v>
      </c>
      <c r="K61" s="10">
        <f t="shared" si="4"/>
        <v>0.009686168471295482</v>
      </c>
      <c r="L61" s="10">
        <f t="shared" si="4"/>
        <v>0.03237548471810345</v>
      </c>
      <c r="M61" s="10">
        <f t="shared" si="4"/>
        <v>0.13741829184337462</v>
      </c>
      <c r="N61" s="10">
        <f>SUM(F61:M61)</f>
        <v>1</v>
      </c>
    </row>
    <row r="62" spans="1:14" ht="16.5">
      <c r="A62" s="1" t="s">
        <v>95</v>
      </c>
      <c r="F62" s="10">
        <f>+F6/B6</f>
        <v>0.33957713459983163</v>
      </c>
      <c r="G62" s="10">
        <f>+G6/B6</f>
        <v>0.010751390495466582</v>
      </c>
      <c r="H62" s="10">
        <f>+H6/B6</f>
        <v>0.2632701411774788</v>
      </c>
      <c r="I62" s="10">
        <f>+I6/B6</f>
        <v>0.07917901214513372</v>
      </c>
      <c r="J62" s="10">
        <f>+J6/B6</f>
        <v>0.01665451825893162</v>
      </c>
      <c r="K62" s="10">
        <f>+K6/B6</f>
        <v>0.017426093618437746</v>
      </c>
      <c r="L62" s="10">
        <f>+L6/B6</f>
        <v>0.03194726570700506</v>
      </c>
      <c r="M62" s="10">
        <f>+M6/B6</f>
        <v>0.24119444399771475</v>
      </c>
      <c r="N62" s="10">
        <f>SUM(F62:M62)</f>
        <v>0.9999999999999998</v>
      </c>
    </row>
    <row r="63" spans="1:14" ht="16.5">
      <c r="A63" s="1" t="s">
        <v>96</v>
      </c>
      <c r="F63" s="10">
        <f>+F7/B7</f>
        <v>0.4217636971821593</v>
      </c>
      <c r="G63" s="10">
        <f>+G7/B7</f>
        <v>0.07600502944626716</v>
      </c>
      <c r="H63" s="10">
        <f>+H7/B7</f>
        <v>0.20919899740241754</v>
      </c>
      <c r="I63" s="10">
        <f>+I7/B7</f>
        <v>0.0011964316016306255</v>
      </c>
      <c r="J63" s="10">
        <f>+J7/B7</f>
        <v>0.023107469369015046</v>
      </c>
      <c r="K63" s="10">
        <f>+K7/B7</f>
        <v>0.00026355359720049053</v>
      </c>
      <c r="L63" s="10">
        <f>+L7/B7</f>
        <v>0.050188032449065646</v>
      </c>
      <c r="M63" s="10">
        <f>+M7/B7</f>
        <v>0.21827678895224434</v>
      </c>
      <c r="N63" s="10">
        <f>SUM(F63:M63)</f>
        <v>1.0000000000000002</v>
      </c>
    </row>
    <row r="64" spans="1:14" ht="16.5">
      <c r="A64" s="1" t="s">
        <v>66</v>
      </c>
      <c r="F64" s="10">
        <f aca="true" t="shared" si="5" ref="F64:M64">+F8/$B$8</f>
        <v>0.3310192106890562</v>
      </c>
      <c r="G64" s="10">
        <f t="shared" si="5"/>
        <v>0.005809535473297434</v>
      </c>
      <c r="H64" s="10">
        <f t="shared" si="5"/>
        <v>0.14338911285489112</v>
      </c>
      <c r="I64" s="10">
        <f t="shared" si="5"/>
        <v>0.3503651160298583</v>
      </c>
      <c r="J64" s="10">
        <f t="shared" si="5"/>
        <v>0.003287381613901226</v>
      </c>
      <c r="K64" s="10">
        <f t="shared" si="5"/>
        <v>0.0010496247490311469</v>
      </c>
      <c r="L64" s="10">
        <f t="shared" si="5"/>
        <v>0.03801736064675514</v>
      </c>
      <c r="M64" s="10">
        <f t="shared" si="5"/>
        <v>0.12706265794320948</v>
      </c>
      <c r="N64" s="10">
        <f aca="true" t="shared" si="6" ref="N64:N71">SUM(F64:M64)</f>
        <v>1</v>
      </c>
    </row>
    <row r="65" spans="1:14" ht="16.5">
      <c r="A65" s="1" t="s">
        <v>67</v>
      </c>
      <c r="F65" s="10">
        <f>+F9/$B$9</f>
        <v>0.11562659642117616</v>
      </c>
      <c r="G65" s="10">
        <f aca="true" t="shared" si="7" ref="G65:M65">+G9/$B$9</f>
        <v>0.016459921333426195</v>
      </c>
      <c r="H65" s="10">
        <f t="shared" si="7"/>
        <v>0.06689188694627395</v>
      </c>
      <c r="I65" s="10">
        <f t="shared" si="7"/>
        <v>0.000997147301133842</v>
      </c>
      <c r="J65" s="10">
        <f t="shared" si="7"/>
        <v>0.009054729303139424</v>
      </c>
      <c r="K65" s="10">
        <f t="shared" si="7"/>
        <v>0.7132409494976255</v>
      </c>
      <c r="L65" s="10">
        <f t="shared" si="7"/>
        <v>0.01967038195757868</v>
      </c>
      <c r="M65" s="10">
        <f t="shared" si="7"/>
        <v>0.058058387239646396</v>
      </c>
      <c r="N65" s="10">
        <f t="shared" si="6"/>
        <v>1</v>
      </c>
    </row>
    <row r="66" spans="1:14" ht="16.5">
      <c r="A66" s="1" t="s">
        <v>70</v>
      </c>
      <c r="F66" s="10">
        <f>+F10/$B$10</f>
        <v>0.46311017294140294</v>
      </c>
      <c r="G66" s="10">
        <f aca="true" t="shared" si="8" ref="G66:M66">+G10/$B$10</f>
        <v>0.019226099412816118</v>
      </c>
      <c r="H66" s="10">
        <f t="shared" si="8"/>
        <v>0.18315340184015705</v>
      </c>
      <c r="I66" s="10">
        <f t="shared" si="8"/>
        <v>0</v>
      </c>
      <c r="J66" s="10">
        <f t="shared" si="8"/>
        <v>0.005090147646951837</v>
      </c>
      <c r="K66" s="10">
        <f t="shared" si="8"/>
        <v>0.0012728167236228738</v>
      </c>
      <c r="L66" s="10">
        <f t="shared" si="8"/>
        <v>0.05036091590308131</v>
      </c>
      <c r="M66" s="10">
        <f t="shared" si="8"/>
        <v>0.27778644553196796</v>
      </c>
      <c r="N66" s="10">
        <f t="shared" si="6"/>
        <v>1</v>
      </c>
    </row>
    <row r="67" spans="1:14" ht="16.5">
      <c r="A67" s="1" t="s">
        <v>68</v>
      </c>
      <c r="F67" s="10">
        <f>+F11/$B$11</f>
        <v>0.4155256943902324</v>
      </c>
      <c r="G67" s="10">
        <f aca="true" t="shared" si="9" ref="G67:M67">+G11/$B$11</f>
        <v>0.013381036394010835</v>
      </c>
      <c r="H67" s="10">
        <f t="shared" si="9"/>
        <v>0.04033341972552265</v>
      </c>
      <c r="I67" s="10">
        <f t="shared" si="9"/>
        <v>0.10958530500085871</v>
      </c>
      <c r="J67" s="10">
        <f t="shared" si="9"/>
        <v>0.002005608206217115</v>
      </c>
      <c r="K67" s="10">
        <f t="shared" si="9"/>
        <v>0</v>
      </c>
      <c r="L67" s="10">
        <f t="shared" si="9"/>
        <v>0.03422557729238552</v>
      </c>
      <c r="M67" s="10">
        <f t="shared" si="9"/>
        <v>0.3849433589907727</v>
      </c>
      <c r="N67" s="10">
        <f t="shared" si="6"/>
        <v>0.9999999999999999</v>
      </c>
    </row>
    <row r="68" spans="1:14" ht="16.5">
      <c r="A68" s="1" t="s">
        <v>99</v>
      </c>
      <c r="F68" s="10">
        <f>+F12/$B$12</f>
        <v>0.4701571996222218</v>
      </c>
      <c r="G68" s="10">
        <f aca="true" t="shared" si="10" ref="G68:M68">+G12/$B$12</f>
        <v>0.00021771728163193303</v>
      </c>
      <c r="H68" s="10">
        <f t="shared" si="10"/>
        <v>0.1380620150035605</v>
      </c>
      <c r="I68" s="10">
        <f t="shared" si="10"/>
        <v>0</v>
      </c>
      <c r="J68" s="10">
        <f t="shared" si="10"/>
        <v>0.017795612523476678</v>
      </c>
      <c r="K68" s="10">
        <f t="shared" si="10"/>
        <v>0</v>
      </c>
      <c r="L68" s="10">
        <f t="shared" si="10"/>
        <v>0.041700690370313</v>
      </c>
      <c r="M68" s="10">
        <f t="shared" si="10"/>
        <v>0.332066765198796</v>
      </c>
      <c r="N68" s="10">
        <f t="shared" si="6"/>
        <v>1</v>
      </c>
    </row>
    <row r="69" spans="1:14" ht="16.5">
      <c r="A69" s="1" t="s">
        <v>71</v>
      </c>
      <c r="F69" s="10">
        <f>+F13/$B$13</f>
        <v>0.46545761741632824</v>
      </c>
      <c r="G69" s="10">
        <f aca="true" t="shared" si="11" ref="G69:M69">+G13/$B$13</f>
        <v>0.12600287935946172</v>
      </c>
      <c r="H69" s="10">
        <f t="shared" si="11"/>
        <v>0.20806648772804864</v>
      </c>
      <c r="I69" s="10">
        <f t="shared" si="11"/>
        <v>0.005865293910332119</v>
      </c>
      <c r="J69" s="10">
        <f t="shared" si="11"/>
        <v>0.00823782141470024</v>
      </c>
      <c r="K69" s="10">
        <f t="shared" si="11"/>
        <v>0.04058916145979689</v>
      </c>
      <c r="L69" s="10">
        <f t="shared" si="11"/>
        <v>0.0432010211717277</v>
      </c>
      <c r="M69" s="10">
        <f t="shared" si="11"/>
        <v>0.10257971753960451</v>
      </c>
      <c r="N69" s="10">
        <f t="shared" si="6"/>
        <v>1</v>
      </c>
    </row>
    <row r="70" spans="1:14" ht="16.5">
      <c r="A70" s="1" t="s">
        <v>72</v>
      </c>
      <c r="F70" s="10">
        <f>+F14/$B$14</f>
        <v>0.331470743378279</v>
      </c>
      <c r="G70" s="10">
        <f aca="true" t="shared" si="12" ref="G70:M70">+G14/$B$14</f>
        <v>0.009696170299686408</v>
      </c>
      <c r="H70" s="10">
        <f t="shared" si="12"/>
        <v>0.33474047275293217</v>
      </c>
      <c r="I70" s="10">
        <f t="shared" si="12"/>
        <v>0.0682864795261097</v>
      </c>
      <c r="J70" s="10">
        <f t="shared" si="12"/>
        <v>0.0006793603780723603</v>
      </c>
      <c r="K70" s="10">
        <f t="shared" si="12"/>
        <v>0.009328763721023078</v>
      </c>
      <c r="L70" s="10">
        <f t="shared" si="12"/>
        <v>0.03597962998210377</v>
      </c>
      <c r="M70" s="10">
        <f t="shared" si="12"/>
        <v>0.20981837996179362</v>
      </c>
      <c r="N70" s="10">
        <f t="shared" si="6"/>
        <v>1</v>
      </c>
    </row>
    <row r="71" spans="1:14" ht="16.5">
      <c r="A71" s="1" t="s">
        <v>69</v>
      </c>
      <c r="F71" s="10">
        <f>+F15/$B$15</f>
        <v>0.20516278186154419</v>
      </c>
      <c r="G71" s="10">
        <f aca="true" t="shared" si="13" ref="G71:M71">+G15/$B$15</f>
        <v>0.007287007049782538</v>
      </c>
      <c r="H71" s="10">
        <f t="shared" si="13"/>
        <v>0.26470998979375693</v>
      </c>
      <c r="I71" s="10">
        <f t="shared" si="13"/>
        <v>0.20469334277606202</v>
      </c>
      <c r="J71" s="10">
        <f t="shared" si="13"/>
        <v>0.037765267631820955</v>
      </c>
      <c r="K71" s="10">
        <f t="shared" si="13"/>
        <v>0.0027830158336043707</v>
      </c>
      <c r="L71" s="10">
        <f t="shared" si="13"/>
        <v>0.03327735630850228</v>
      </c>
      <c r="M71" s="10">
        <f t="shared" si="13"/>
        <v>0.24432123874492664</v>
      </c>
      <c r="N71" s="10">
        <f t="shared" si="6"/>
        <v>0.9999999999999999</v>
      </c>
    </row>
  </sheetData>
  <mergeCells count="1">
    <mergeCell ref="F3:L3"/>
  </mergeCells>
  <printOptions/>
  <pageMargins left="0.74" right="0.46" top="0.68" bottom="0.22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6"/>
  <sheetViews>
    <sheetView workbookViewId="0" topLeftCell="D8">
      <selection activeCell="P20" sqref="P20"/>
    </sheetView>
  </sheetViews>
  <sheetFormatPr defaultColWidth="11.421875" defaultRowHeight="15"/>
  <cols>
    <col min="1" max="1" width="19.28125" style="1" customWidth="1"/>
    <col min="2" max="2" width="9.28125" style="1" customWidth="1"/>
    <col min="3" max="3" width="12.57421875" style="1" customWidth="1"/>
    <col min="4" max="4" width="7.421875" style="1" customWidth="1"/>
    <col min="5" max="5" width="9.421875" style="1" customWidth="1"/>
    <col min="6" max="6" width="9.28125" style="1" customWidth="1"/>
    <col min="7" max="7" width="12.28125" style="1" customWidth="1"/>
    <col min="8" max="8" width="7.421875" style="1" customWidth="1"/>
    <col min="9" max="9" width="10.7109375" style="1" customWidth="1"/>
    <col min="10" max="10" width="8.421875" style="1" customWidth="1"/>
    <col min="11" max="11" width="10.8515625" style="1" customWidth="1"/>
    <col min="12" max="12" width="7.8515625" style="1" customWidth="1"/>
    <col min="13" max="13" width="10.421875" style="1" customWidth="1"/>
    <col min="14" max="14" width="8.28125" style="1" customWidth="1"/>
    <col min="15" max="15" width="10.7109375" style="1" customWidth="1"/>
    <col min="16" max="16" width="11.8515625" style="1" customWidth="1"/>
    <col min="17" max="17" width="12.00390625" style="1" customWidth="1"/>
    <col min="18" max="19" width="13.8515625" style="1" bestFit="1" customWidth="1"/>
    <col min="20" max="16384" width="11.421875" style="1" customWidth="1"/>
  </cols>
  <sheetData>
    <row r="2" spans="1:15" ht="18">
      <c r="A2" s="146" t="s">
        <v>0</v>
      </c>
      <c r="B2" s="166" t="s">
        <v>106</v>
      </c>
      <c r="C2" s="166"/>
      <c r="D2" s="171"/>
      <c r="E2" s="171"/>
      <c r="I2" s="21" t="s">
        <v>23</v>
      </c>
      <c r="J2" s="21"/>
      <c r="K2" s="150">
        <v>40756</v>
      </c>
      <c r="L2" s="122"/>
      <c r="M2" s="122"/>
      <c r="O2" s="20"/>
    </row>
    <row r="3" spans="2:4" ht="6.75" customHeight="1">
      <c r="B3" s="172"/>
      <c r="C3" s="172"/>
      <c r="D3" s="67"/>
    </row>
    <row r="4" ht="17.25" thickBot="1"/>
    <row r="5" spans="1:17" ht="17.25">
      <c r="A5" s="25"/>
      <c r="B5" s="173" t="s">
        <v>1</v>
      </c>
      <c r="C5" s="174"/>
      <c r="D5" s="173" t="s">
        <v>2</v>
      </c>
      <c r="E5" s="174"/>
      <c r="F5" s="173" t="s">
        <v>3</v>
      </c>
      <c r="G5" s="174"/>
      <c r="H5" s="173" t="s">
        <v>4</v>
      </c>
      <c r="I5" s="174"/>
      <c r="J5" s="173" t="s">
        <v>32</v>
      </c>
      <c r="K5" s="174"/>
      <c r="L5" s="173" t="s">
        <v>36</v>
      </c>
      <c r="M5" s="174"/>
      <c r="N5" s="173" t="s">
        <v>33</v>
      </c>
      <c r="O5" s="174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9" ht="17.25">
      <c r="A7" s="31" t="s">
        <v>14</v>
      </c>
      <c r="B7" s="68">
        <v>1180470</v>
      </c>
      <c r="C7" s="33">
        <f>5878.72+384626.4+197.69+43691.2+1773.48+85229+1025.96+166132.73</f>
        <v>688555.18</v>
      </c>
      <c r="D7" s="68">
        <f>1700+40000</f>
        <v>41700</v>
      </c>
      <c r="E7" s="33">
        <f>3745.89+14858.6</f>
        <v>18604.49</v>
      </c>
      <c r="F7" s="68">
        <f>227129+200000</f>
        <v>427129</v>
      </c>
      <c r="G7" s="33">
        <f>10526.69+547198.73</f>
        <v>557725.4199999999</v>
      </c>
      <c r="H7" s="68">
        <f>498847+100000+100000</f>
        <v>698847</v>
      </c>
      <c r="I7" s="33">
        <f>16885.66+602643.59+300+1000</f>
        <v>620829.25</v>
      </c>
      <c r="J7" s="68">
        <f>1400+20000</f>
        <v>21400</v>
      </c>
      <c r="K7" s="33">
        <f>210.47+34370.96</f>
        <v>34581.43</v>
      </c>
      <c r="L7" s="68">
        <v>70000</v>
      </c>
      <c r="M7" s="33">
        <v>30154.18</v>
      </c>
      <c r="N7" s="68">
        <v>200000</v>
      </c>
      <c r="O7" s="33">
        <v>181691.45</v>
      </c>
      <c r="P7" s="34">
        <f>+O7+K7+I7+G7+E7+C7+M7</f>
        <v>2132141.4</v>
      </c>
      <c r="Q7" s="34">
        <f>+B7+D7+F7+H7+J7+N7-P7+L7</f>
        <v>507404.6000000001</v>
      </c>
      <c r="R7" s="5"/>
      <c r="S7" s="5"/>
    </row>
    <row r="8" spans="1:17" ht="17.25">
      <c r="A8" s="31" t="s">
        <v>135</v>
      </c>
      <c r="B8" s="68">
        <v>0</v>
      </c>
      <c r="C8" s="33">
        <v>0</v>
      </c>
      <c r="D8" s="68">
        <v>10000</v>
      </c>
      <c r="E8" s="33">
        <v>0</v>
      </c>
      <c r="F8" s="68">
        <v>62217</v>
      </c>
      <c r="G8" s="33">
        <v>0</v>
      </c>
      <c r="H8" s="68">
        <v>0</v>
      </c>
      <c r="I8" s="33">
        <v>0</v>
      </c>
      <c r="J8" s="68">
        <v>1000</v>
      </c>
      <c r="K8" s="33">
        <v>0</v>
      </c>
      <c r="L8" s="68">
        <v>0</v>
      </c>
      <c r="M8" s="33">
        <v>0</v>
      </c>
      <c r="N8" s="68">
        <v>0</v>
      </c>
      <c r="O8" s="37">
        <v>0</v>
      </c>
      <c r="P8" s="34">
        <f>+O8+K8+I8+G8+E8+C8+M8</f>
        <v>0</v>
      </c>
      <c r="Q8" s="34">
        <f>+B8+D8+F8+H8+J8+N8-P8</f>
        <v>73217</v>
      </c>
    </row>
    <row r="9" spans="1:17" ht="17.25">
      <c r="A9" s="31" t="s">
        <v>82</v>
      </c>
      <c r="B9" s="68">
        <v>186349</v>
      </c>
      <c r="C9" s="33">
        <f>171.32+116109.05</f>
        <v>116280.37000000001</v>
      </c>
      <c r="D9" s="68">
        <v>0</v>
      </c>
      <c r="E9" s="33">
        <v>960</v>
      </c>
      <c r="F9" s="68">
        <v>0</v>
      </c>
      <c r="G9" s="33">
        <f>2383.33+22053.81</f>
        <v>24437.14</v>
      </c>
      <c r="H9" s="68">
        <v>0</v>
      </c>
      <c r="I9" s="33">
        <v>0</v>
      </c>
      <c r="J9" s="68">
        <v>0</v>
      </c>
      <c r="K9" s="33">
        <v>7158.67</v>
      </c>
      <c r="L9" s="68">
        <v>0</v>
      </c>
      <c r="M9" s="33">
        <v>0</v>
      </c>
      <c r="N9" s="68">
        <v>0</v>
      </c>
      <c r="O9" s="37">
        <v>5478.17</v>
      </c>
      <c r="P9" s="34">
        <f>+O9+K9+I9+G9+E9+C9</f>
        <v>154314.35</v>
      </c>
      <c r="Q9" s="34">
        <f>+B9+D9+F9+H9+J9+N9-P9</f>
        <v>32034.649999999994</v>
      </c>
    </row>
    <row r="10" spans="1:17" ht="17.25">
      <c r="A10" s="31" t="s">
        <v>83</v>
      </c>
      <c r="B10" s="68">
        <v>355484</v>
      </c>
      <c r="C10" s="33">
        <f>771.58+221642.72</f>
        <v>222414.3</v>
      </c>
      <c r="D10" s="68">
        <v>0</v>
      </c>
      <c r="E10" s="33">
        <v>1584.48</v>
      </c>
      <c r="F10" s="68">
        <v>244893</v>
      </c>
      <c r="G10" s="33">
        <v>182828.5</v>
      </c>
      <c r="H10" s="68">
        <v>0</v>
      </c>
      <c r="I10" s="33">
        <v>0</v>
      </c>
      <c r="J10" s="68">
        <v>0</v>
      </c>
      <c r="K10" s="33">
        <v>2001.89</v>
      </c>
      <c r="L10" s="68">
        <v>0</v>
      </c>
      <c r="M10" s="33">
        <v>0</v>
      </c>
      <c r="N10" s="68">
        <v>0</v>
      </c>
      <c r="O10" s="37">
        <v>8396.4</v>
      </c>
      <c r="P10" s="34">
        <f aca="true" t="shared" si="0" ref="P10:P15">+O10+K10+I10+G10+E10+C10+M10</f>
        <v>417225.57</v>
      </c>
      <c r="Q10" s="34">
        <f aca="true" t="shared" si="1" ref="Q10:Q16">+B10+D10+F10+H10+J10+N10-P10</f>
        <v>183151.43</v>
      </c>
    </row>
    <row r="11" spans="1:17" ht="17.25">
      <c r="A11" s="31" t="s">
        <v>73</v>
      </c>
      <c r="B11" s="68">
        <v>840190</v>
      </c>
      <c r="C11" s="33">
        <f>1861.06+259423.41+2909.71+150805.33+23.6+58248.83+6+12262.81</f>
        <v>485540.75</v>
      </c>
      <c r="D11" s="68">
        <v>2080</v>
      </c>
      <c r="E11" s="33">
        <f>3656.76+4511.55</f>
        <v>8168.31</v>
      </c>
      <c r="F11" s="68">
        <v>12267</v>
      </c>
      <c r="G11" s="33">
        <f>4541.79+32285.39+11980</f>
        <v>48807.18</v>
      </c>
      <c r="H11" s="68">
        <v>0</v>
      </c>
      <c r="I11" s="33">
        <v>0</v>
      </c>
      <c r="J11" s="68">
        <v>0</v>
      </c>
      <c r="K11" s="33">
        <v>248</v>
      </c>
      <c r="L11" s="68">
        <v>0</v>
      </c>
      <c r="M11" s="33">
        <v>0</v>
      </c>
      <c r="N11" s="68">
        <v>0</v>
      </c>
      <c r="O11" s="37">
        <v>18387.04</v>
      </c>
      <c r="P11" s="34">
        <f t="shared" si="0"/>
        <v>561151.28</v>
      </c>
      <c r="Q11" s="34">
        <f t="shared" si="1"/>
        <v>293385.72</v>
      </c>
    </row>
    <row r="12" spans="1:17" ht="17.25">
      <c r="A12" s="31" t="s">
        <v>107</v>
      </c>
      <c r="B12" s="68">
        <v>774394</v>
      </c>
      <c r="C12" s="33">
        <f>2324.38+561566.21</f>
        <v>563890.59</v>
      </c>
      <c r="D12" s="68">
        <v>11000</v>
      </c>
      <c r="E12" s="33">
        <v>27923.66</v>
      </c>
      <c r="F12" s="68">
        <v>102650</v>
      </c>
      <c r="G12" s="33">
        <v>64921.5</v>
      </c>
      <c r="H12" s="68">
        <v>0</v>
      </c>
      <c r="I12" s="33">
        <v>0</v>
      </c>
      <c r="J12" s="68">
        <v>8000</v>
      </c>
      <c r="K12" s="33">
        <v>11034.72</v>
      </c>
      <c r="L12" s="68">
        <v>0</v>
      </c>
      <c r="M12" s="33">
        <v>0</v>
      </c>
      <c r="N12" s="68">
        <v>0</v>
      </c>
      <c r="O12" s="37">
        <v>23198.73</v>
      </c>
      <c r="P12" s="34">
        <f t="shared" si="0"/>
        <v>690969.2</v>
      </c>
      <c r="Q12" s="34">
        <f t="shared" si="1"/>
        <v>205074.80000000005</v>
      </c>
    </row>
    <row r="13" spans="1:17" ht="17.25">
      <c r="A13" s="31" t="s">
        <v>141</v>
      </c>
      <c r="B13" s="68">
        <v>233995</v>
      </c>
      <c r="C13" s="33">
        <f>9007.65+181505.93</f>
        <v>190513.58</v>
      </c>
      <c r="D13" s="68">
        <v>10800</v>
      </c>
      <c r="E13" s="33">
        <f>489.33+572.07</f>
        <v>1061.4</v>
      </c>
      <c r="F13" s="68">
        <v>89500</v>
      </c>
      <c r="G13" s="33">
        <v>27046.15</v>
      </c>
      <c r="H13" s="68">
        <v>0</v>
      </c>
      <c r="I13" s="33">
        <f>9025+1500</f>
        <v>10525</v>
      </c>
      <c r="J13" s="68">
        <v>390000</v>
      </c>
      <c r="K13" s="33">
        <f>966.45+72669.42</f>
        <v>73635.87</v>
      </c>
      <c r="L13" s="68">
        <v>0</v>
      </c>
      <c r="M13" s="33">
        <f>6876.62+80262.19</f>
        <v>87138.81</v>
      </c>
      <c r="N13" s="68">
        <v>0</v>
      </c>
      <c r="O13" s="37">
        <v>3951.85</v>
      </c>
      <c r="P13" s="34">
        <f>+O13+K13+I13+G13+E13+C13+M13</f>
        <v>393872.66</v>
      </c>
      <c r="Q13" s="34">
        <f t="shared" si="1"/>
        <v>330422.34</v>
      </c>
    </row>
    <row r="14" spans="1:17" ht="17.25">
      <c r="A14" s="31" t="s">
        <v>77</v>
      </c>
      <c r="B14" s="68">
        <v>762365</v>
      </c>
      <c r="C14" s="33">
        <f>2985.77+571286.96</f>
        <v>574272.73</v>
      </c>
      <c r="D14" s="68">
        <v>38595</v>
      </c>
      <c r="E14" s="33">
        <f>4560+22914.3</f>
        <v>27474.3</v>
      </c>
      <c r="F14" s="68">
        <v>338795</v>
      </c>
      <c r="G14" s="33">
        <v>16309.6</v>
      </c>
      <c r="H14" s="68">
        <v>24000</v>
      </c>
      <c r="I14" s="33">
        <f>3870.19+51133.56</f>
        <v>55003.75</v>
      </c>
      <c r="J14" s="68">
        <v>26088</v>
      </c>
      <c r="K14" s="33">
        <v>5461.67</v>
      </c>
      <c r="L14" s="68">
        <v>75000</v>
      </c>
      <c r="M14" s="33">
        <v>27489.2</v>
      </c>
      <c r="N14" s="68">
        <v>0</v>
      </c>
      <c r="O14" s="37">
        <v>18767.5</v>
      </c>
      <c r="P14" s="34">
        <f t="shared" si="0"/>
        <v>724778.75</v>
      </c>
      <c r="Q14" s="34">
        <f>+B14+D14+F14+H14+J14+N14-P14+L14</f>
        <v>540064.25</v>
      </c>
    </row>
    <row r="15" spans="1:17" ht="17.25">
      <c r="A15" s="31" t="s">
        <v>76</v>
      </c>
      <c r="B15" s="68">
        <v>451951</v>
      </c>
      <c r="C15" s="33">
        <f>890.57+284670.04</f>
        <v>285560.61</v>
      </c>
      <c r="D15" s="68">
        <v>0</v>
      </c>
      <c r="E15" s="33">
        <v>4092.44</v>
      </c>
      <c r="F15" s="68">
        <v>1319636</v>
      </c>
      <c r="G15" s="33">
        <f>28257.39+593657.4</f>
        <v>621914.79</v>
      </c>
      <c r="H15" s="68">
        <v>135000</v>
      </c>
      <c r="I15" s="33">
        <v>20431.82</v>
      </c>
      <c r="J15" s="68">
        <v>25593</v>
      </c>
      <c r="K15" s="33">
        <v>7131</v>
      </c>
      <c r="L15" s="68">
        <v>0</v>
      </c>
      <c r="M15" s="33">
        <v>16318.18</v>
      </c>
      <c r="N15" s="68">
        <v>0</v>
      </c>
      <c r="O15" s="37">
        <v>33797.16</v>
      </c>
      <c r="P15" s="34">
        <f t="shared" si="0"/>
        <v>989246</v>
      </c>
      <c r="Q15" s="34">
        <f t="shared" si="1"/>
        <v>942934</v>
      </c>
    </row>
    <row r="16" spans="1:18" ht="17.25">
      <c r="A16" s="31" t="s">
        <v>108</v>
      </c>
      <c r="B16" s="32">
        <v>89461</v>
      </c>
      <c r="C16" s="33">
        <v>19107.52</v>
      </c>
      <c r="D16" s="32">
        <v>0</v>
      </c>
      <c r="E16" s="33">
        <v>0</v>
      </c>
      <c r="F16" s="32">
        <v>4014</v>
      </c>
      <c r="G16" s="33">
        <v>671.97</v>
      </c>
      <c r="H16" s="32">
        <v>0</v>
      </c>
      <c r="I16" s="33">
        <v>0</v>
      </c>
      <c r="J16" s="32">
        <v>0</v>
      </c>
      <c r="K16" s="33">
        <f>99.29*2</f>
        <v>198.58</v>
      </c>
      <c r="L16" s="68">
        <v>0</v>
      </c>
      <c r="M16" s="37">
        <v>0</v>
      </c>
      <c r="N16" s="32">
        <v>0</v>
      </c>
      <c r="O16" s="37">
        <v>2318.74</v>
      </c>
      <c r="P16" s="34">
        <f>+O16+K16+I16+G16+E16+C16</f>
        <v>22296.81</v>
      </c>
      <c r="Q16" s="34">
        <f t="shared" si="1"/>
        <v>71178.19</v>
      </c>
      <c r="R16" s="158"/>
    </row>
    <row r="17" spans="1:18" ht="18" thickBot="1">
      <c r="A17" s="38" t="s">
        <v>11</v>
      </c>
      <c r="B17" s="39">
        <f>SUM(B7:B16)</f>
        <v>4874659</v>
      </c>
      <c r="C17" s="40">
        <f>SUM(C7:C16)</f>
        <v>3146135.63</v>
      </c>
      <c r="D17" s="39">
        <f aca="true" t="shared" si="2" ref="D17:P17">SUM(D7:D16)</f>
        <v>114175</v>
      </c>
      <c r="E17" s="40">
        <f>SUM(E7:E16)</f>
        <v>89869.08</v>
      </c>
      <c r="F17" s="39">
        <f t="shared" si="2"/>
        <v>2601101</v>
      </c>
      <c r="G17" s="40">
        <f t="shared" si="2"/>
        <v>1544662.25</v>
      </c>
      <c r="H17" s="39">
        <f t="shared" si="2"/>
        <v>857847</v>
      </c>
      <c r="I17" s="40">
        <f t="shared" si="2"/>
        <v>706789.82</v>
      </c>
      <c r="J17" s="39">
        <f t="shared" si="2"/>
        <v>472081</v>
      </c>
      <c r="K17" s="40">
        <f t="shared" si="2"/>
        <v>141451.83</v>
      </c>
      <c r="L17" s="39">
        <f t="shared" si="2"/>
        <v>145000</v>
      </c>
      <c r="M17" s="40">
        <f t="shared" si="2"/>
        <v>161100.37</v>
      </c>
      <c r="N17" s="39">
        <f t="shared" si="2"/>
        <v>200000</v>
      </c>
      <c r="O17" s="40">
        <f t="shared" si="2"/>
        <v>295987.04000000004</v>
      </c>
      <c r="P17" s="42">
        <f t="shared" si="2"/>
        <v>6085996.02</v>
      </c>
      <c r="Q17" s="42">
        <f>SUM(Q7:Q16)</f>
        <v>3178866.98</v>
      </c>
      <c r="R17" s="5"/>
    </row>
    <row r="18" spans="1:17" ht="17.25" thickBot="1">
      <c r="A18" s="43" t="s">
        <v>30</v>
      </c>
      <c r="B18" s="44"/>
      <c r="C18" s="139">
        <f>+C17/B17</f>
        <v>0.645406300215051</v>
      </c>
      <c r="D18" s="46"/>
      <c r="E18" s="139">
        <f>+E17/D17</f>
        <v>0.7871169695642654</v>
      </c>
      <c r="F18" s="139"/>
      <c r="G18" s="139">
        <f>+G17/F17</f>
        <v>0.5938493930070382</v>
      </c>
      <c r="H18" s="139"/>
      <c r="I18" s="139">
        <f>+I17/H17</f>
        <v>0.8239112802166353</v>
      </c>
      <c r="J18" s="139"/>
      <c r="K18" s="139">
        <f>+K17/J17</f>
        <v>0.29963466015366</v>
      </c>
      <c r="L18" s="147"/>
      <c r="M18" s="147">
        <f>+M17/L17</f>
        <v>1.1110370344827585</v>
      </c>
      <c r="N18" s="139"/>
      <c r="O18" s="141">
        <f>+O17/N17</f>
        <v>1.4799352000000001</v>
      </c>
      <c r="P18" s="58"/>
      <c r="Q18" s="58"/>
    </row>
    <row r="19" spans="1:17" ht="8.25" customHeight="1">
      <c r="A19" s="49"/>
      <c r="B19" s="4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ht="16.5">
      <c r="P20" s="52"/>
    </row>
    <row r="22" ht="17.25">
      <c r="P22" s="69"/>
    </row>
    <row r="23" ht="16.5">
      <c r="P23" s="70"/>
    </row>
    <row r="24" ht="16.5">
      <c r="P24" s="58"/>
    </row>
    <row r="25" ht="16.5">
      <c r="P25" s="58"/>
    </row>
    <row r="26" ht="16.5">
      <c r="P26" s="58"/>
    </row>
    <row r="40" spans="1:6" ht="16.5">
      <c r="A40" s="53"/>
      <c r="B40" s="53"/>
      <c r="C40" s="53"/>
      <c r="D40" s="53"/>
      <c r="E40" s="53"/>
      <c r="F40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spans="3:6" ht="16.5">
      <c r="C47" s="52"/>
      <c r="D47" s="5"/>
      <c r="E47" s="53"/>
      <c r="F47" s="53"/>
    </row>
    <row r="48" spans="3:6" ht="16.5">
      <c r="C48" s="52"/>
      <c r="D48" s="5"/>
      <c r="E48" s="53"/>
      <c r="F48" s="53"/>
    </row>
    <row r="49" ht="16.5">
      <c r="C49" s="48"/>
    </row>
    <row r="51" spans="1:4" ht="16.5">
      <c r="A51" s="62" t="s">
        <v>26</v>
      </c>
      <c r="B51" s="71" t="s">
        <v>27</v>
      </c>
      <c r="C51" s="62" t="s">
        <v>28</v>
      </c>
      <c r="D51" s="62"/>
    </row>
    <row r="52" spans="1:3" ht="17.25">
      <c r="A52" s="64">
        <f>+B17</f>
        <v>4874659</v>
      </c>
      <c r="B52" s="65">
        <f>+C17</f>
        <v>3146135.63</v>
      </c>
      <c r="C52" s="62" t="s">
        <v>1</v>
      </c>
    </row>
    <row r="53" spans="1:3" ht="17.25">
      <c r="A53" s="64">
        <f>+D17</f>
        <v>114175</v>
      </c>
      <c r="B53" s="65">
        <f>+E17</f>
        <v>89869.08</v>
      </c>
      <c r="C53" s="62" t="s">
        <v>2</v>
      </c>
    </row>
    <row r="54" spans="1:3" ht="17.25">
      <c r="A54" s="64">
        <f>+F17</f>
        <v>2601101</v>
      </c>
      <c r="B54" s="65">
        <f>+G17</f>
        <v>1544662.25</v>
      </c>
      <c r="C54" s="62" t="s">
        <v>3</v>
      </c>
    </row>
    <row r="55" spans="1:3" ht="17.25">
      <c r="A55" s="64">
        <f>+H17</f>
        <v>857847</v>
      </c>
      <c r="B55" s="65">
        <f>+I17</f>
        <v>706789.82</v>
      </c>
      <c r="C55" s="62" t="s">
        <v>34</v>
      </c>
    </row>
    <row r="56" spans="1:3" ht="17.25">
      <c r="A56" s="64">
        <f>+J17</f>
        <v>472081</v>
      </c>
      <c r="B56" s="65">
        <f>+K17</f>
        <v>141451.83</v>
      </c>
      <c r="C56" s="62" t="s">
        <v>32</v>
      </c>
    </row>
    <row r="57" spans="1:3" ht="17.25">
      <c r="A57" s="64">
        <v>0</v>
      </c>
      <c r="B57" s="65">
        <f>+M17</f>
        <v>161100.37</v>
      </c>
      <c r="C57" s="62" t="s">
        <v>104</v>
      </c>
    </row>
    <row r="58" spans="1:3" ht="17.25">
      <c r="A58" s="64">
        <f>+N17</f>
        <v>200000</v>
      </c>
      <c r="B58" s="65">
        <f>+O17</f>
        <v>295987.04000000004</v>
      </c>
      <c r="C58" s="62" t="s">
        <v>35</v>
      </c>
    </row>
    <row r="59" spans="1:3" ht="17.25">
      <c r="A59" s="64"/>
      <c r="B59" s="64"/>
      <c r="C59" s="62"/>
    </row>
    <row r="60" spans="1:3" ht="17.25">
      <c r="A60" s="64">
        <v>866913</v>
      </c>
      <c r="B60" s="65">
        <v>406071.92</v>
      </c>
      <c r="C60" s="62"/>
    </row>
    <row r="61" spans="1:3" ht="17.25">
      <c r="A61" s="64"/>
      <c r="B61" s="64"/>
      <c r="C61" s="62"/>
    </row>
    <row r="62" spans="1:2" ht="17.25">
      <c r="A62" s="64"/>
      <c r="B62" s="64"/>
    </row>
    <row r="63" spans="1:2" ht="17.25">
      <c r="A63" s="64"/>
      <c r="B63" s="64"/>
    </row>
    <row r="64" spans="1:2" ht="17.25">
      <c r="A64" s="64"/>
      <c r="B64" s="64"/>
    </row>
    <row r="65" spans="1:2" ht="17.25">
      <c r="A65" s="64"/>
      <c r="B65" s="64"/>
    </row>
    <row r="66" spans="1:2" ht="17.25">
      <c r="A66" s="64"/>
      <c r="B66" s="64"/>
    </row>
    <row r="67" spans="1:2" ht="17.25">
      <c r="A67" s="64"/>
      <c r="B67" s="64"/>
    </row>
    <row r="68" spans="1:2" ht="17.25">
      <c r="A68" s="64"/>
      <c r="B68" s="64"/>
    </row>
    <row r="69" spans="1:2" ht="17.25">
      <c r="A69" s="64"/>
      <c r="B69" s="64"/>
    </row>
    <row r="70" spans="1:2" ht="17.25">
      <c r="A70" s="64"/>
      <c r="B70" s="64"/>
    </row>
    <row r="71" spans="1:2" ht="17.25">
      <c r="A71" s="64"/>
      <c r="B71" s="64"/>
    </row>
    <row r="72" spans="1:2" ht="17.25">
      <c r="A72" s="64"/>
      <c r="B72" s="64"/>
    </row>
    <row r="73" spans="1:2" ht="17.25">
      <c r="A73" s="64"/>
      <c r="B73" s="64"/>
    </row>
    <row r="74" spans="1:2" ht="17.25">
      <c r="A74" s="64"/>
      <c r="B74" s="64"/>
    </row>
    <row r="75" spans="1:2" ht="17.25">
      <c r="A75" s="64"/>
      <c r="B75" s="64"/>
    </row>
    <row r="76" spans="1:2" ht="17.25">
      <c r="A76" s="64"/>
      <c r="B76" s="64"/>
    </row>
  </sheetData>
  <mergeCells count="9">
    <mergeCell ref="B2:E2"/>
    <mergeCell ref="B3:C3"/>
    <mergeCell ref="J5:K5"/>
    <mergeCell ref="N5:O5"/>
    <mergeCell ref="B5:C5"/>
    <mergeCell ref="D5:E5"/>
    <mergeCell ref="F5:G5"/>
    <mergeCell ref="H5:I5"/>
    <mergeCell ref="L5:M5"/>
  </mergeCells>
  <printOptions/>
  <pageMargins left="0.69" right="0.34" top="0.46" bottom="0.57" header="0.2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F1">
      <selection activeCell="P16" sqref="P16"/>
    </sheetView>
  </sheetViews>
  <sheetFormatPr defaultColWidth="11.421875" defaultRowHeight="15"/>
  <cols>
    <col min="1" max="1" width="15.57421875" style="1" customWidth="1"/>
    <col min="2" max="2" width="9.140625" style="1" customWidth="1"/>
    <col min="3" max="3" width="12.140625" style="1" customWidth="1"/>
    <col min="4" max="4" width="7.8515625" style="1" customWidth="1"/>
    <col min="5" max="5" width="10.421875" style="1" customWidth="1"/>
    <col min="6" max="6" width="9.28125" style="1" customWidth="1"/>
    <col min="7" max="7" width="12.28125" style="1" customWidth="1"/>
    <col min="8" max="8" width="7.421875" style="1" customWidth="1"/>
    <col min="9" max="9" width="8.7109375" style="1" customWidth="1"/>
    <col min="10" max="10" width="7.57421875" style="1" customWidth="1"/>
    <col min="11" max="11" width="10.140625" style="1" customWidth="1"/>
    <col min="12" max="12" width="7.57421875" style="1" customWidth="1"/>
    <col min="13" max="14" width="9.28125" style="1" customWidth="1"/>
    <col min="15" max="16" width="11.8515625" style="1" customWidth="1"/>
    <col min="17" max="17" width="12.140625" style="1" customWidth="1"/>
    <col min="18" max="18" width="11.28125" style="1" customWidth="1"/>
    <col min="19" max="16384" width="11.421875" style="1" customWidth="1"/>
  </cols>
  <sheetData>
    <row r="1" spans="14:15" ht="16.5">
      <c r="N1" s="72"/>
      <c r="O1" s="72"/>
    </row>
    <row r="2" spans="1:15" ht="18">
      <c r="A2" s="146" t="s">
        <v>0</v>
      </c>
      <c r="B2" s="166" t="s">
        <v>134</v>
      </c>
      <c r="C2" s="178"/>
      <c r="D2" s="178"/>
      <c r="E2" s="178"/>
      <c r="F2" s="178"/>
      <c r="G2" s="179"/>
      <c r="L2" s="175" t="s">
        <v>23</v>
      </c>
      <c r="M2" s="176"/>
      <c r="N2" s="150">
        <v>40756</v>
      </c>
      <c r="O2" s="73"/>
    </row>
    <row r="3" spans="2:5" ht="16.5" customHeight="1">
      <c r="B3" s="177"/>
      <c r="C3" s="177"/>
      <c r="D3" s="177"/>
      <c r="E3" s="177"/>
    </row>
    <row r="4" spans="15:16" ht="18" thickBot="1">
      <c r="O4" s="74"/>
      <c r="P4" s="65"/>
    </row>
    <row r="5" spans="1:17" ht="17.25">
      <c r="A5" s="25"/>
      <c r="B5" s="173" t="s">
        <v>1</v>
      </c>
      <c r="C5" s="174"/>
      <c r="D5" s="173" t="s">
        <v>2</v>
      </c>
      <c r="E5" s="174"/>
      <c r="F5" s="173" t="s">
        <v>3</v>
      </c>
      <c r="G5" s="174"/>
      <c r="H5" s="75" t="s">
        <v>136</v>
      </c>
      <c r="I5" s="75"/>
      <c r="J5" s="173" t="s">
        <v>32</v>
      </c>
      <c r="K5" s="174"/>
      <c r="L5" s="173" t="s">
        <v>36</v>
      </c>
      <c r="M5" s="174"/>
      <c r="N5" s="173" t="s">
        <v>33</v>
      </c>
      <c r="O5" s="174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8" ht="17.25">
      <c r="A7" s="31" t="s">
        <v>14</v>
      </c>
      <c r="B7" s="32">
        <v>630220</v>
      </c>
      <c r="C7" s="33">
        <f>1661.65+103133.9+419.13+55110.6+1080.39+162390.85+1+6+42290.68</f>
        <v>366094.2</v>
      </c>
      <c r="D7" s="68">
        <v>1000</v>
      </c>
      <c r="E7" s="33">
        <v>3504</v>
      </c>
      <c r="F7" s="68">
        <v>864868</v>
      </c>
      <c r="G7" s="33">
        <f>1224.25+9390.6</f>
        <v>10614.85</v>
      </c>
      <c r="H7" s="68">
        <v>0</v>
      </c>
      <c r="I7" s="33">
        <v>0</v>
      </c>
      <c r="J7" s="68">
        <f>2888+100000</f>
        <v>102888</v>
      </c>
      <c r="K7" s="33">
        <f>5474+570</f>
        <v>6044</v>
      </c>
      <c r="L7" s="68">
        <v>0</v>
      </c>
      <c r="M7" s="33">
        <v>0</v>
      </c>
      <c r="N7" s="68">
        <v>300000</v>
      </c>
      <c r="O7" s="33">
        <v>190072.2</v>
      </c>
      <c r="P7" s="34">
        <f>+C7+E7+G7+K7+O7+I7</f>
        <v>576329.25</v>
      </c>
      <c r="Q7" s="34">
        <f aca="true" t="shared" si="0" ref="Q7:Q13">+B7+D7+F7+J7+N7+H7-P7</f>
        <v>1322646.75</v>
      </c>
      <c r="R7" s="158"/>
    </row>
    <row r="8" spans="1:18" ht="17.25">
      <c r="A8" s="31" t="s">
        <v>6</v>
      </c>
      <c r="B8" s="32">
        <v>491458</v>
      </c>
      <c r="C8" s="33">
        <f>2032.69+224142.21+223.53+71009.28</f>
        <v>297407.70999999996</v>
      </c>
      <c r="D8" s="68">
        <v>5184</v>
      </c>
      <c r="E8" s="33">
        <v>3760.74</v>
      </c>
      <c r="F8" s="68">
        <v>98042</v>
      </c>
      <c r="G8" s="33">
        <f>930365.66+1808.49</f>
        <v>932174.15</v>
      </c>
      <c r="H8" s="68">
        <v>0</v>
      </c>
      <c r="I8" s="33">
        <v>0</v>
      </c>
      <c r="J8" s="68">
        <v>3860</v>
      </c>
      <c r="K8" s="33">
        <v>1032</v>
      </c>
      <c r="L8" s="68">
        <v>0</v>
      </c>
      <c r="M8" s="33">
        <v>0</v>
      </c>
      <c r="N8" s="68">
        <v>0</v>
      </c>
      <c r="O8" s="33">
        <v>12295.71</v>
      </c>
      <c r="P8" s="34">
        <f>+C8+E8+G8+K8+O8+I8</f>
        <v>1246670.31</v>
      </c>
      <c r="Q8" s="34">
        <f t="shared" si="0"/>
        <v>-648126.31</v>
      </c>
      <c r="R8" s="5"/>
    </row>
    <row r="9" spans="1:17" ht="17.25">
      <c r="A9" s="31" t="s">
        <v>103</v>
      </c>
      <c r="B9" s="32">
        <v>1202609</v>
      </c>
      <c r="C9" s="33">
        <f>1503.72+507194.12+559.39+132301.53+703.58+36654.86+1123.23+104873.27</f>
        <v>784913.7</v>
      </c>
      <c r="D9" s="68">
        <v>10000</v>
      </c>
      <c r="E9" s="33">
        <f>2239.45+19849.45</f>
        <v>22088.9</v>
      </c>
      <c r="F9" s="68">
        <v>23051</v>
      </c>
      <c r="G9" s="33">
        <f>11.22+25794.4</f>
        <v>25805.620000000003</v>
      </c>
      <c r="H9" s="68">
        <v>0</v>
      </c>
      <c r="I9" s="33">
        <v>0</v>
      </c>
      <c r="J9" s="68">
        <v>3860</v>
      </c>
      <c r="K9" s="33">
        <f>169+42300.72</f>
        <v>42469.72</v>
      </c>
      <c r="L9" s="68">
        <v>0</v>
      </c>
      <c r="M9" s="33">
        <v>0</v>
      </c>
      <c r="N9" s="68">
        <v>0</v>
      </c>
      <c r="O9" s="33">
        <v>31148.28</v>
      </c>
      <c r="P9" s="34">
        <f>+C9+E9+G9+K9+O9+I9</f>
        <v>906426.22</v>
      </c>
      <c r="Q9" s="34">
        <f t="shared" si="0"/>
        <v>333093.78</v>
      </c>
    </row>
    <row r="10" spans="1:17" ht="17.25">
      <c r="A10" s="31" t="s">
        <v>7</v>
      </c>
      <c r="B10" s="32">
        <v>418253</v>
      </c>
      <c r="C10" s="33">
        <f>1659.76+225085.84+76+23319.72</f>
        <v>250141.32</v>
      </c>
      <c r="D10" s="68">
        <v>10400</v>
      </c>
      <c r="E10" s="33">
        <f>4805+36030.68</f>
        <v>40835.68</v>
      </c>
      <c r="F10" s="68">
        <v>9500</v>
      </c>
      <c r="G10" s="33">
        <v>693.56</v>
      </c>
      <c r="H10" s="68">
        <v>0</v>
      </c>
      <c r="I10" s="33">
        <v>0</v>
      </c>
      <c r="J10" s="68">
        <v>13740</v>
      </c>
      <c r="K10" s="33">
        <v>20567.56</v>
      </c>
      <c r="L10" s="68">
        <v>0</v>
      </c>
      <c r="M10" s="33">
        <v>0</v>
      </c>
      <c r="N10" s="68">
        <v>0</v>
      </c>
      <c r="O10" s="33">
        <v>11440.79</v>
      </c>
      <c r="P10" s="34">
        <f>+C10+E10+G10+K10+O10+I10+M10</f>
        <v>323678.91</v>
      </c>
      <c r="Q10" s="34">
        <f t="shared" si="0"/>
        <v>128214.09000000003</v>
      </c>
    </row>
    <row r="11" spans="1:19" ht="17.25">
      <c r="A11" s="31" t="s">
        <v>9</v>
      </c>
      <c r="B11" s="32">
        <v>808844</v>
      </c>
      <c r="C11" s="33">
        <f>4013.32+561092.42</f>
        <v>565105.74</v>
      </c>
      <c r="D11" s="68">
        <v>4100</v>
      </c>
      <c r="E11" s="33">
        <v>9437.57</v>
      </c>
      <c r="F11" s="68">
        <v>199629</v>
      </c>
      <c r="G11" s="33">
        <v>230121.52</v>
      </c>
      <c r="H11" s="68">
        <v>0</v>
      </c>
      <c r="I11" s="33">
        <v>0</v>
      </c>
      <c r="J11" s="68">
        <v>3860</v>
      </c>
      <c r="K11" s="33">
        <v>8216</v>
      </c>
      <c r="L11" s="68">
        <v>0</v>
      </c>
      <c r="M11" s="33">
        <v>0</v>
      </c>
      <c r="N11" s="68">
        <v>0</v>
      </c>
      <c r="O11" s="33">
        <v>32477.36</v>
      </c>
      <c r="P11" s="34">
        <f>+C11+E11+G11+K11+O11+I11</f>
        <v>845358.19</v>
      </c>
      <c r="Q11" s="34">
        <f t="shared" si="0"/>
        <v>171074.81000000006</v>
      </c>
      <c r="S11" s="5"/>
    </row>
    <row r="12" spans="1:17" ht="17.25">
      <c r="A12" s="31" t="s">
        <v>8</v>
      </c>
      <c r="B12" s="32">
        <v>910276</v>
      </c>
      <c r="C12" s="33">
        <f>8156.14+482645.45+33.2+38205.53+383.4+57846.87</f>
        <v>587270.5900000001</v>
      </c>
      <c r="D12" s="68">
        <v>677834</v>
      </c>
      <c r="E12" s="33">
        <f>8869.96+437479.51</f>
        <v>446349.47000000003</v>
      </c>
      <c r="F12" s="68">
        <v>21260</v>
      </c>
      <c r="G12" s="33">
        <f>1357.94+12371.83</f>
        <v>13729.77</v>
      </c>
      <c r="H12" s="68">
        <v>0</v>
      </c>
      <c r="I12" s="33">
        <v>714.56</v>
      </c>
      <c r="J12" s="68">
        <v>37058</v>
      </c>
      <c r="K12" s="33">
        <v>79936.12</v>
      </c>
      <c r="L12" s="68">
        <v>0</v>
      </c>
      <c r="M12" s="33">
        <v>1857.55</v>
      </c>
      <c r="N12" s="68">
        <v>0</v>
      </c>
      <c r="O12" s="33">
        <v>71531.2</v>
      </c>
      <c r="P12" s="34">
        <f>+C12+E12+G12+K12+O12+I12+M12</f>
        <v>1201389.2600000002</v>
      </c>
      <c r="Q12" s="34">
        <f t="shared" si="0"/>
        <v>445038.73999999976</v>
      </c>
    </row>
    <row r="13" spans="1:17" ht="17.25">
      <c r="A13" s="31" t="s">
        <v>10</v>
      </c>
      <c r="B13" s="32">
        <v>193868</v>
      </c>
      <c r="C13" s="33">
        <f>569.58+121126.5</f>
        <v>121696.08</v>
      </c>
      <c r="D13" s="68">
        <v>0</v>
      </c>
      <c r="E13" s="33">
        <v>0</v>
      </c>
      <c r="F13" s="68">
        <v>2430</v>
      </c>
      <c r="G13" s="33">
        <f>185.92+4289.57</f>
        <v>4475.49</v>
      </c>
      <c r="H13" s="68">
        <v>0</v>
      </c>
      <c r="I13" s="33">
        <v>0</v>
      </c>
      <c r="J13" s="68">
        <v>0</v>
      </c>
      <c r="K13" s="33">
        <v>153.17</v>
      </c>
      <c r="L13" s="68">
        <v>0</v>
      </c>
      <c r="M13" s="33">
        <v>0</v>
      </c>
      <c r="N13" s="68">
        <v>0</v>
      </c>
      <c r="O13" s="33">
        <v>4764.33</v>
      </c>
      <c r="P13" s="34">
        <f>+C13+E13+G13+K13+O13+I13</f>
        <v>131089.07</v>
      </c>
      <c r="Q13" s="34">
        <f t="shared" si="0"/>
        <v>65208.92999999999</v>
      </c>
    </row>
    <row r="14" spans="1:18" ht="18" thickBot="1">
      <c r="A14" s="38" t="s">
        <v>11</v>
      </c>
      <c r="B14" s="39">
        <f aca="true" t="shared" si="1" ref="B14:Q14">SUM(B7:B13)</f>
        <v>4655528</v>
      </c>
      <c r="C14" s="40">
        <f t="shared" si="1"/>
        <v>2972629.34</v>
      </c>
      <c r="D14" s="39">
        <f t="shared" si="1"/>
        <v>708518</v>
      </c>
      <c r="E14" s="40">
        <f t="shared" si="1"/>
        <v>525976.3600000001</v>
      </c>
      <c r="F14" s="77">
        <f t="shared" si="1"/>
        <v>1218780</v>
      </c>
      <c r="G14" s="40">
        <f t="shared" si="1"/>
        <v>1217614.96</v>
      </c>
      <c r="H14" s="77">
        <f t="shared" si="1"/>
        <v>0</v>
      </c>
      <c r="I14" s="40">
        <f t="shared" si="1"/>
        <v>714.56</v>
      </c>
      <c r="J14" s="39">
        <f t="shared" si="1"/>
        <v>165266</v>
      </c>
      <c r="K14" s="40">
        <f t="shared" si="1"/>
        <v>158418.57</v>
      </c>
      <c r="L14" s="39">
        <f>SUM(L7:L13)</f>
        <v>0</v>
      </c>
      <c r="M14" s="40">
        <f>SUM(M7:M13)</f>
        <v>1857.55</v>
      </c>
      <c r="N14" s="39">
        <f t="shared" si="1"/>
        <v>300000</v>
      </c>
      <c r="O14" s="40">
        <f t="shared" si="1"/>
        <v>353729.87000000005</v>
      </c>
      <c r="P14" s="42">
        <f t="shared" si="1"/>
        <v>5230941.210000001</v>
      </c>
      <c r="Q14" s="42">
        <f t="shared" si="1"/>
        <v>1817150.7899999998</v>
      </c>
      <c r="R14" s="52"/>
    </row>
    <row r="15" spans="1:17" ht="17.25" thickBot="1">
      <c r="A15" s="43" t="s">
        <v>30</v>
      </c>
      <c r="B15" s="44"/>
      <c r="C15" s="139">
        <f>+C14/B14</f>
        <v>0.6385160480186135</v>
      </c>
      <c r="D15" s="139"/>
      <c r="E15" s="139">
        <f>+E14/D14</f>
        <v>0.7423613232126779</v>
      </c>
      <c r="F15" s="139"/>
      <c r="G15" s="139">
        <f>+G14/F14</f>
        <v>0.9990440932736014</v>
      </c>
      <c r="H15" s="45"/>
      <c r="I15" s="45"/>
      <c r="J15" s="45"/>
      <c r="K15" s="139">
        <f>+K14/J14</f>
        <v>0.9585672189077004</v>
      </c>
      <c r="L15" s="47"/>
      <c r="M15" s="47"/>
      <c r="N15" s="47"/>
      <c r="O15" s="141">
        <f>+O14/N14</f>
        <v>1.1790995666666668</v>
      </c>
      <c r="P15" s="58"/>
      <c r="Q15" s="5"/>
    </row>
    <row r="16" spans="1:17" ht="16.5">
      <c r="A16" s="49"/>
      <c r="B16" s="4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140"/>
      <c r="Q16" s="5"/>
    </row>
    <row r="17" ht="16.5">
      <c r="P17" s="5"/>
    </row>
    <row r="39" spans="1:6" ht="16.5">
      <c r="A39" s="53"/>
      <c r="B39" s="53"/>
      <c r="C39" s="53"/>
      <c r="D39" s="53"/>
      <c r="E39" s="53"/>
      <c r="F39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8" spans="1:4" ht="16.5">
      <c r="A48" s="62" t="s">
        <v>26</v>
      </c>
      <c r="B48" s="62" t="s">
        <v>27</v>
      </c>
      <c r="C48" s="62" t="s">
        <v>28</v>
      </c>
      <c r="D48" s="5"/>
    </row>
    <row r="49" spans="1:3" ht="16.5">
      <c r="A49" s="1">
        <f>+B14</f>
        <v>4655528</v>
      </c>
      <c r="B49" s="52">
        <f>+C14</f>
        <v>2972629.34</v>
      </c>
      <c r="C49" s="62" t="s">
        <v>1</v>
      </c>
    </row>
    <row r="50" spans="1:3" ht="16.5">
      <c r="A50" s="1">
        <f>+D14</f>
        <v>708518</v>
      </c>
      <c r="B50" s="52">
        <f>+E14</f>
        <v>525976.3600000001</v>
      </c>
      <c r="C50" s="62" t="s">
        <v>2</v>
      </c>
    </row>
    <row r="51" spans="1:3" ht="16.5">
      <c r="A51" s="1">
        <f>+F14</f>
        <v>1218780</v>
      </c>
      <c r="B51" s="52">
        <f>+G14</f>
        <v>1217614.96</v>
      </c>
      <c r="C51" s="62" t="s">
        <v>3</v>
      </c>
    </row>
    <row r="52" spans="1:3" ht="16.5">
      <c r="A52" s="78">
        <f>+H14</f>
        <v>0</v>
      </c>
      <c r="B52" s="52">
        <f>+I14</f>
        <v>714.56</v>
      </c>
      <c r="C52" s="62" t="s">
        <v>34</v>
      </c>
    </row>
    <row r="53" spans="1:3" ht="16.5">
      <c r="A53" s="1">
        <f>+J14</f>
        <v>165266</v>
      </c>
      <c r="B53" s="5">
        <f>+K14</f>
        <v>158418.57</v>
      </c>
      <c r="C53" s="62" t="s">
        <v>32</v>
      </c>
    </row>
    <row r="54" spans="1:3" ht="16.5">
      <c r="A54" s="1">
        <v>0</v>
      </c>
      <c r="B54" s="5">
        <f>+M14</f>
        <v>1857.55</v>
      </c>
      <c r="C54" s="62" t="s">
        <v>104</v>
      </c>
    </row>
    <row r="55" spans="1:3" ht="17.25">
      <c r="A55" s="1">
        <f>+N14</f>
        <v>300000</v>
      </c>
      <c r="B55" s="65">
        <f>+O14</f>
        <v>353729.87000000005</v>
      </c>
      <c r="C55" s="62" t="s">
        <v>35</v>
      </c>
    </row>
    <row r="56" ht="16.5">
      <c r="C56" s="63"/>
    </row>
    <row r="57" spans="1:3" ht="17.25">
      <c r="A57" s="1">
        <v>2487582</v>
      </c>
      <c r="B57" s="65">
        <v>786542.11</v>
      </c>
      <c r="C57" s="63"/>
    </row>
    <row r="58" ht="16.5">
      <c r="C58" s="63"/>
    </row>
    <row r="59" ht="16.5">
      <c r="C59" s="63"/>
    </row>
    <row r="60" ht="16.5">
      <c r="C60" s="63"/>
    </row>
    <row r="61" ht="16.5">
      <c r="C61" s="63"/>
    </row>
    <row r="62" ht="16.5">
      <c r="C62" s="63"/>
    </row>
    <row r="63" ht="16.5">
      <c r="C63" s="63"/>
    </row>
  </sheetData>
  <mergeCells count="9">
    <mergeCell ref="L2:M2"/>
    <mergeCell ref="B3:E3"/>
    <mergeCell ref="J5:K5"/>
    <mergeCell ref="B2:G2"/>
    <mergeCell ref="N5:O5"/>
    <mergeCell ref="B5:C5"/>
    <mergeCell ref="D5:E5"/>
    <mergeCell ref="F5:G5"/>
    <mergeCell ref="L5:M5"/>
  </mergeCells>
  <printOptions/>
  <pageMargins left="0.84" right="0.63" top="0.78" bottom="0.5" header="0.42" footer="0"/>
  <pageSetup horizontalDpi="600" verticalDpi="600" orientation="landscape" paperSize="5" r:id="rId2"/>
  <headerFooter alignWithMargins="0">
    <oddHeader>&amp;R&amp;"Palatino Linotype,Normal"&amp;10CONTADURIA MUNICIPA&amp;"Gill Sans MT Shadow,Normal"L</oddHeader>
    <oddFooter>&amp;L&amp;"Gill Sans MT Shadow,Regular"&amp;8&amp;D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6"/>
  <sheetViews>
    <sheetView workbookViewId="0" topLeftCell="F1">
      <selection activeCell="P15" sqref="P15"/>
    </sheetView>
  </sheetViews>
  <sheetFormatPr defaultColWidth="11.421875" defaultRowHeight="15"/>
  <cols>
    <col min="1" max="1" width="18.421875" style="1" customWidth="1"/>
    <col min="2" max="2" width="9.140625" style="1" customWidth="1"/>
    <col min="3" max="3" width="12.421875" style="1" customWidth="1"/>
    <col min="4" max="4" width="7.7109375" style="1" customWidth="1"/>
    <col min="5" max="5" width="9.421875" style="1" customWidth="1"/>
    <col min="6" max="6" width="9.140625" style="1" customWidth="1"/>
    <col min="7" max="7" width="11.8515625" style="1" customWidth="1"/>
    <col min="8" max="8" width="9.140625" style="1" customWidth="1"/>
    <col min="9" max="9" width="12.28125" style="1" customWidth="1"/>
    <col min="10" max="10" width="7.00390625" style="1" customWidth="1"/>
    <col min="11" max="11" width="9.28125" style="1" customWidth="1"/>
    <col min="12" max="12" width="7.57421875" style="1" customWidth="1"/>
    <col min="13" max="13" width="9.421875" style="1" customWidth="1"/>
    <col min="14" max="14" width="7.7109375" style="1" customWidth="1"/>
    <col min="15" max="15" width="10.140625" style="1" customWidth="1"/>
    <col min="16" max="16" width="13.140625" style="1" customWidth="1"/>
    <col min="17" max="17" width="13.28125" style="1" customWidth="1"/>
    <col min="18" max="18" width="13.8515625" style="1" bestFit="1" customWidth="1"/>
    <col min="19" max="16384" width="11.421875" style="1" customWidth="1"/>
  </cols>
  <sheetData>
    <row r="2" spans="1:15" ht="18">
      <c r="A2" s="146" t="s">
        <v>0</v>
      </c>
      <c r="B2" s="166" t="s">
        <v>109</v>
      </c>
      <c r="C2" s="166"/>
      <c r="D2" s="180"/>
      <c r="E2" s="180"/>
      <c r="F2" s="179"/>
      <c r="I2" s="175" t="s">
        <v>23</v>
      </c>
      <c r="J2" s="175"/>
      <c r="K2" s="150">
        <v>40756</v>
      </c>
      <c r="L2" s="122"/>
      <c r="M2" s="122"/>
      <c r="N2" s="123"/>
      <c r="O2" s="56"/>
    </row>
    <row r="3" spans="2:4" ht="16.5">
      <c r="B3" s="164"/>
      <c r="C3" s="164"/>
      <c r="D3" s="67"/>
    </row>
    <row r="4" ht="17.25" thickBot="1"/>
    <row r="5" spans="1:17" ht="17.25">
      <c r="A5" s="25"/>
      <c r="B5" s="173" t="s">
        <v>1</v>
      </c>
      <c r="C5" s="174"/>
      <c r="D5" s="173" t="s">
        <v>2</v>
      </c>
      <c r="E5" s="174"/>
      <c r="F5" s="173" t="s">
        <v>3</v>
      </c>
      <c r="G5" s="174"/>
      <c r="H5" s="173" t="s">
        <v>4</v>
      </c>
      <c r="I5" s="174"/>
      <c r="J5" s="173" t="s">
        <v>32</v>
      </c>
      <c r="K5" s="174"/>
      <c r="L5" s="173" t="s">
        <v>36</v>
      </c>
      <c r="M5" s="174"/>
      <c r="N5" s="173" t="s">
        <v>33</v>
      </c>
      <c r="O5" s="174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8" ht="17.25">
      <c r="A7" s="31" t="s">
        <v>14</v>
      </c>
      <c r="B7" s="32">
        <v>1251588</v>
      </c>
      <c r="C7" s="33">
        <f>10762.44+698468.52+1411.86+69297.12</f>
        <v>779939.94</v>
      </c>
      <c r="D7" s="32">
        <v>100726</v>
      </c>
      <c r="E7" s="33">
        <f>1477.35+32724.45</f>
        <v>34201.8</v>
      </c>
      <c r="F7" s="32">
        <f>346006+300000</f>
        <v>646006</v>
      </c>
      <c r="G7" s="33">
        <f>18139.86+600763.17+3302.6+3009.36</f>
        <v>625214.99</v>
      </c>
      <c r="H7" s="32">
        <f>1602993+100000+200000+1300000</f>
        <v>3202993</v>
      </c>
      <c r="I7" s="33">
        <f>78697.46+1618305.47+5600</f>
        <v>1702602.93</v>
      </c>
      <c r="J7" s="32">
        <f>400+25000+26000</f>
        <v>51400</v>
      </c>
      <c r="K7" s="33">
        <f>99.29+35265.46</f>
        <v>35364.75</v>
      </c>
      <c r="L7" s="32">
        <v>0</v>
      </c>
      <c r="M7" s="37">
        <f>2360+6966.57</f>
        <v>9326.57</v>
      </c>
      <c r="N7" s="32">
        <v>400000</v>
      </c>
      <c r="O7" s="33">
        <v>390327.72</v>
      </c>
      <c r="P7" s="34">
        <f>+C7+E7+G7+I7+K7+O7+M7</f>
        <v>3576978.6999999997</v>
      </c>
      <c r="Q7" s="34">
        <f aca="true" t="shared" si="0" ref="Q7:Q12">+B7+D7+F7+H7+J7+N7-P7</f>
        <v>2075734.3000000003</v>
      </c>
      <c r="R7" s="163"/>
    </row>
    <row r="8" spans="1:18" ht="17.25">
      <c r="A8" s="31" t="s">
        <v>74</v>
      </c>
      <c r="B8" s="32">
        <v>328024</v>
      </c>
      <c r="C8" s="33">
        <f>766.06+199091.54+6+16161.96</f>
        <v>216025.56</v>
      </c>
      <c r="D8" s="32">
        <v>18800</v>
      </c>
      <c r="E8" s="33">
        <f>87+15217.85</f>
        <v>15304.85</v>
      </c>
      <c r="F8" s="32">
        <v>341466</v>
      </c>
      <c r="G8" s="33">
        <f>13488.4+532617.05</f>
        <v>546105.4500000001</v>
      </c>
      <c r="H8" s="32">
        <v>1016600</v>
      </c>
      <c r="I8" s="33">
        <f>330092.16+2067552.24</f>
        <v>2397644.4</v>
      </c>
      <c r="J8" s="32">
        <v>0</v>
      </c>
      <c r="K8" s="33">
        <f>3178+1526.75</f>
        <v>4704.75</v>
      </c>
      <c r="L8" s="32">
        <v>0</v>
      </c>
      <c r="M8" s="37">
        <v>2615.35</v>
      </c>
      <c r="N8" s="32">
        <v>0</v>
      </c>
      <c r="O8" s="33">
        <v>23535.97</v>
      </c>
      <c r="P8" s="34">
        <f>+C8+E8+G8+I8+K8+O8+M8</f>
        <v>3205936.33</v>
      </c>
      <c r="Q8" s="34">
        <f t="shared" si="0"/>
        <v>-1501046.33</v>
      </c>
      <c r="R8" s="5"/>
    </row>
    <row r="9" spans="1:18" ht="17.25">
      <c r="A9" s="31" t="s">
        <v>81</v>
      </c>
      <c r="B9" s="32">
        <v>3403691</v>
      </c>
      <c r="C9" s="33">
        <f>20756.05+2007759.43</f>
        <v>2028515.48</v>
      </c>
      <c r="D9" s="32">
        <v>31998</v>
      </c>
      <c r="E9" s="33">
        <f>429.3+9195.45</f>
        <v>9624.75</v>
      </c>
      <c r="F9" s="32">
        <v>626358</v>
      </c>
      <c r="G9" s="33">
        <f>1543.05+356450.75</f>
        <v>357993.8</v>
      </c>
      <c r="H9" s="32">
        <v>889767</v>
      </c>
      <c r="I9" s="33">
        <f>26083.58+881249.85</f>
        <v>907333.4299999999</v>
      </c>
      <c r="J9" s="32">
        <v>0</v>
      </c>
      <c r="K9" s="33">
        <f>99.29+353.98</f>
        <v>453.27000000000004</v>
      </c>
      <c r="L9" s="32">
        <v>0</v>
      </c>
      <c r="M9" s="37">
        <v>3361</v>
      </c>
      <c r="N9" s="32">
        <v>0</v>
      </c>
      <c r="O9" s="33">
        <v>78525.41</v>
      </c>
      <c r="P9" s="34">
        <f>+C9+E9+G9+I9+K9+O9+M9</f>
        <v>3385807.14</v>
      </c>
      <c r="Q9" s="34">
        <f t="shared" si="0"/>
        <v>1566006.8599999999</v>
      </c>
      <c r="R9" s="5"/>
    </row>
    <row r="10" spans="1:18" ht="17.25">
      <c r="A10" s="31" t="s">
        <v>128</v>
      </c>
      <c r="B10" s="32">
        <v>2732695</v>
      </c>
      <c r="C10" s="33">
        <f>36852.2+2067173.84</f>
        <v>2104026.04</v>
      </c>
      <c r="D10" s="32">
        <v>13959</v>
      </c>
      <c r="E10" s="33">
        <v>6627.21</v>
      </c>
      <c r="F10" s="32">
        <v>377643</v>
      </c>
      <c r="G10" s="33">
        <v>208462.48</v>
      </c>
      <c r="H10" s="32">
        <v>0</v>
      </c>
      <c r="I10" s="33">
        <v>0</v>
      </c>
      <c r="J10" s="32">
        <v>2500</v>
      </c>
      <c r="K10" s="33">
        <v>109</v>
      </c>
      <c r="L10" s="32">
        <v>0</v>
      </c>
      <c r="M10" s="37">
        <v>0</v>
      </c>
      <c r="N10" s="32">
        <v>0</v>
      </c>
      <c r="O10" s="33">
        <v>63026.11</v>
      </c>
      <c r="P10" s="34">
        <f>+C10+E10+G10+I10+K10+O10+M10</f>
        <v>2382250.84</v>
      </c>
      <c r="Q10" s="34">
        <f t="shared" si="0"/>
        <v>744546.1600000001</v>
      </c>
      <c r="R10" s="5"/>
    </row>
    <row r="11" spans="1:18" ht="17.25">
      <c r="A11" s="31" t="s">
        <v>110</v>
      </c>
      <c r="B11" s="32">
        <v>888624</v>
      </c>
      <c r="C11" s="33">
        <f>8905.87+592667.02</f>
        <v>601572.89</v>
      </c>
      <c r="D11" s="32">
        <v>36127</v>
      </c>
      <c r="E11" s="33">
        <f>14857.97+9135.64</f>
        <v>23993.61</v>
      </c>
      <c r="F11" s="32">
        <v>232240</v>
      </c>
      <c r="G11" s="33">
        <f>3266.67+145910.81</f>
        <v>149177.48</v>
      </c>
      <c r="H11" s="32">
        <v>712421</v>
      </c>
      <c r="I11" s="33">
        <v>486562.31</v>
      </c>
      <c r="J11" s="32">
        <v>4789</v>
      </c>
      <c r="K11" s="33">
        <v>15962.17</v>
      </c>
      <c r="L11" s="32">
        <v>0</v>
      </c>
      <c r="M11" s="37">
        <v>0</v>
      </c>
      <c r="N11" s="32">
        <v>0</v>
      </c>
      <c r="O11" s="33">
        <v>102681.08</v>
      </c>
      <c r="P11" s="34">
        <f>+C11+E11+G11+I11+K11+O11</f>
        <v>1379949.54</v>
      </c>
      <c r="Q11" s="34">
        <f t="shared" si="0"/>
        <v>494251.45999999996</v>
      </c>
      <c r="R11" s="5"/>
    </row>
    <row r="12" spans="1:18" ht="17.25" hidden="1">
      <c r="A12" s="31" t="s">
        <v>75</v>
      </c>
      <c r="B12" s="32"/>
      <c r="C12" s="33"/>
      <c r="D12" s="32"/>
      <c r="E12" s="33"/>
      <c r="F12" s="32"/>
      <c r="G12" s="33"/>
      <c r="H12" s="32"/>
      <c r="I12" s="33"/>
      <c r="J12" s="32"/>
      <c r="K12" s="33"/>
      <c r="L12" s="32"/>
      <c r="M12" s="37"/>
      <c r="N12" s="32">
        <v>0</v>
      </c>
      <c r="O12" s="33"/>
      <c r="P12" s="34">
        <f>+C12+E12+G12+I12+K12+O12+M12</f>
        <v>0</v>
      </c>
      <c r="Q12" s="34">
        <f t="shared" si="0"/>
        <v>0</v>
      </c>
      <c r="R12" s="5"/>
    </row>
    <row r="13" spans="1:18" ht="18" thickBot="1">
      <c r="A13" s="38" t="s">
        <v>11</v>
      </c>
      <c r="B13" s="39">
        <f aca="true" t="shared" si="1" ref="B13:Q13">SUM(B7:B12)</f>
        <v>8604622</v>
      </c>
      <c r="C13" s="40">
        <f t="shared" si="1"/>
        <v>5730079.909999999</v>
      </c>
      <c r="D13" s="39">
        <f t="shared" si="1"/>
        <v>201610</v>
      </c>
      <c r="E13" s="40">
        <f t="shared" si="1"/>
        <v>89752.22</v>
      </c>
      <c r="F13" s="39">
        <f t="shared" si="1"/>
        <v>2223713</v>
      </c>
      <c r="G13" s="40">
        <f t="shared" si="1"/>
        <v>1886954.2</v>
      </c>
      <c r="H13" s="39">
        <f t="shared" si="1"/>
        <v>5821781</v>
      </c>
      <c r="I13" s="40">
        <f t="shared" si="1"/>
        <v>5494143.069999999</v>
      </c>
      <c r="J13" s="39">
        <f t="shared" si="1"/>
        <v>58689</v>
      </c>
      <c r="K13" s="40">
        <f>SUM(K7:K12)</f>
        <v>56593.939999999995</v>
      </c>
      <c r="L13" s="39">
        <f>SUM(L7:L12)</f>
        <v>0</v>
      </c>
      <c r="M13" s="40">
        <f>SUM(M7:M12)</f>
        <v>15302.92</v>
      </c>
      <c r="N13" s="39">
        <f t="shared" si="1"/>
        <v>400000</v>
      </c>
      <c r="O13" s="40">
        <f>SUM(O7:O12)</f>
        <v>658096.2899999999</v>
      </c>
      <c r="P13" s="42">
        <f t="shared" si="1"/>
        <v>13930922.55</v>
      </c>
      <c r="Q13" s="42">
        <f t="shared" si="1"/>
        <v>3379492.45</v>
      </c>
      <c r="R13" s="5"/>
    </row>
    <row r="14" spans="1:17" ht="17.25" thickBot="1">
      <c r="A14" s="43" t="s">
        <v>30</v>
      </c>
      <c r="B14" s="44"/>
      <c r="C14" s="139">
        <f>+C13/B13</f>
        <v>0.6659304627210817</v>
      </c>
      <c r="D14" s="45"/>
      <c r="E14" s="139">
        <f>+E13/D13</f>
        <v>0.4451774217548733</v>
      </c>
      <c r="F14" s="45"/>
      <c r="G14" s="139">
        <f>+G13/F13</f>
        <v>0.8485601334344854</v>
      </c>
      <c r="H14" s="45"/>
      <c r="I14" s="139">
        <f>+I13/H13</f>
        <v>0.9437220448519104</v>
      </c>
      <c r="J14" s="45"/>
      <c r="K14" s="139">
        <f>+K13/J13</f>
        <v>0.9643023394503228</v>
      </c>
      <c r="L14" s="47"/>
      <c r="M14" s="47"/>
      <c r="N14" s="45"/>
      <c r="O14" s="141">
        <f>+O13/N13</f>
        <v>1.6452407249999998</v>
      </c>
      <c r="P14" s="58"/>
      <c r="Q14" s="5"/>
    </row>
    <row r="15" spans="1:16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0"/>
    </row>
    <row r="16" ht="16.5">
      <c r="P16" s="5"/>
    </row>
    <row r="32" spans="5:8" ht="16.5">
      <c r="E32" s="59"/>
      <c r="F32" s="59"/>
      <c r="G32" s="60"/>
      <c r="H32" s="60"/>
    </row>
    <row r="33" spans="5:8" ht="16.5">
      <c r="E33" s="61"/>
      <c r="F33" s="61"/>
      <c r="G33" s="61"/>
      <c r="H33" s="61"/>
    </row>
    <row r="38" spans="1:6" ht="16.5">
      <c r="A38" s="53"/>
      <c r="B38" s="53"/>
      <c r="C38" s="53"/>
      <c r="D38" s="53"/>
      <c r="E38" s="53"/>
      <c r="F38" s="53"/>
    </row>
    <row r="39" ht="16.5">
      <c r="C39" s="48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7" spans="1:5" ht="16.5">
      <c r="A47" s="62" t="s">
        <v>26</v>
      </c>
      <c r="B47" s="62" t="s">
        <v>27</v>
      </c>
      <c r="C47" s="62" t="s">
        <v>28</v>
      </c>
      <c r="D47" s="62"/>
      <c r="E47" s="63"/>
    </row>
    <row r="48" spans="1:3" ht="17.25">
      <c r="A48" s="64">
        <f>+B13</f>
        <v>8604622</v>
      </c>
      <c r="B48" s="65">
        <f>+C13</f>
        <v>5730079.909999999</v>
      </c>
      <c r="C48" s="62" t="s">
        <v>1</v>
      </c>
    </row>
    <row r="49" spans="1:3" ht="17.25">
      <c r="A49" s="64">
        <f>+D13</f>
        <v>201610</v>
      </c>
      <c r="B49" s="65">
        <f>+E13</f>
        <v>89752.22</v>
      </c>
      <c r="C49" s="62" t="s">
        <v>2</v>
      </c>
    </row>
    <row r="50" spans="1:3" ht="17.25">
      <c r="A50" s="64">
        <f>+F13</f>
        <v>2223713</v>
      </c>
      <c r="B50" s="65">
        <f>+G13</f>
        <v>1886954.2</v>
      </c>
      <c r="C50" s="62" t="s">
        <v>3</v>
      </c>
    </row>
    <row r="51" spans="1:3" ht="17.25">
      <c r="A51" s="64">
        <f>+H13</f>
        <v>5821781</v>
      </c>
      <c r="B51" s="65">
        <f>+I13</f>
        <v>5494143.069999999</v>
      </c>
      <c r="C51" s="62" t="s">
        <v>34</v>
      </c>
    </row>
    <row r="52" spans="1:3" ht="17.25">
      <c r="A52" s="64">
        <f>+J13</f>
        <v>58689</v>
      </c>
      <c r="B52" s="65">
        <f>+K13</f>
        <v>56593.939999999995</v>
      </c>
      <c r="C52" s="62" t="s">
        <v>32</v>
      </c>
    </row>
    <row r="53" spans="1:3" ht="17.25">
      <c r="A53" s="66">
        <f>+L13</f>
        <v>0</v>
      </c>
      <c r="B53" s="65">
        <f>+M13</f>
        <v>15302.92</v>
      </c>
      <c r="C53" s="62" t="s">
        <v>97</v>
      </c>
    </row>
    <row r="54" spans="1:3" ht="17.25">
      <c r="A54" s="64">
        <f>+N13</f>
        <v>400000</v>
      </c>
      <c r="B54" s="65">
        <f>+O13</f>
        <v>658096.2899999999</v>
      </c>
      <c r="C54" s="62" t="s">
        <v>35</v>
      </c>
    </row>
    <row r="55" spans="1:3" ht="17.25">
      <c r="A55" s="64"/>
      <c r="B55" s="64"/>
      <c r="C55" s="62"/>
    </row>
    <row r="56" spans="1:2" ht="16.5">
      <c r="A56" s="1">
        <v>2809993</v>
      </c>
      <c r="B56" s="5">
        <v>749308.3</v>
      </c>
    </row>
  </sheetData>
  <mergeCells count="10">
    <mergeCell ref="B2:F2"/>
    <mergeCell ref="I2:J2"/>
    <mergeCell ref="B3:C3"/>
    <mergeCell ref="N5:O5"/>
    <mergeCell ref="J5:K5"/>
    <mergeCell ref="B5:C5"/>
    <mergeCell ref="D5:E5"/>
    <mergeCell ref="F5:G5"/>
    <mergeCell ref="H5:I5"/>
    <mergeCell ref="L5:M5"/>
  </mergeCells>
  <printOptions/>
  <pageMargins left="0.71" right="0.37" top="0.94" bottom="0.61" header="0.31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59"/>
  <sheetViews>
    <sheetView workbookViewId="0" topLeftCell="J1">
      <selection activeCell="P14" sqref="P14"/>
    </sheetView>
  </sheetViews>
  <sheetFormatPr defaultColWidth="11.421875" defaultRowHeight="15"/>
  <cols>
    <col min="1" max="1" width="13.421875" style="1" customWidth="1"/>
    <col min="2" max="2" width="9.28125" style="1" customWidth="1"/>
    <col min="3" max="3" width="12.421875" style="1" customWidth="1"/>
    <col min="4" max="4" width="7.8515625" style="1" customWidth="1"/>
    <col min="5" max="5" width="10.57421875" style="1" customWidth="1"/>
    <col min="6" max="6" width="9.00390625" style="1" customWidth="1"/>
    <col min="7" max="7" width="11.140625" style="1" customWidth="1"/>
    <col min="8" max="8" width="7.57421875" style="1" customWidth="1"/>
    <col min="9" max="9" width="9.57421875" style="1" customWidth="1"/>
    <col min="10" max="10" width="7.8515625" style="1" customWidth="1"/>
    <col min="11" max="11" width="10.421875" style="1" customWidth="1"/>
    <col min="12" max="12" width="10.140625" style="1" customWidth="1"/>
    <col min="13" max="13" width="13.140625" style="1" customWidth="1"/>
    <col min="14" max="14" width="9.140625" style="1" customWidth="1"/>
    <col min="15" max="15" width="10.140625" style="1" customWidth="1"/>
    <col min="16" max="16" width="12.8515625" style="1" customWidth="1"/>
    <col min="17" max="17" width="12.57421875" style="1" customWidth="1"/>
    <col min="18" max="18" width="15.00390625" style="1" bestFit="1" customWidth="1"/>
    <col min="19" max="16384" width="11.421875" style="1" customWidth="1"/>
  </cols>
  <sheetData>
    <row r="2" spans="1:15" ht="18">
      <c r="A2" s="146" t="s">
        <v>0</v>
      </c>
      <c r="B2" s="166" t="s">
        <v>111</v>
      </c>
      <c r="C2" s="182"/>
      <c r="D2" s="182"/>
      <c r="E2" s="171"/>
      <c r="F2" s="171"/>
      <c r="L2" s="175" t="s">
        <v>23</v>
      </c>
      <c r="M2" s="176"/>
      <c r="N2" s="150">
        <v>40756</v>
      </c>
      <c r="O2" s="56"/>
    </row>
    <row r="3" spans="2:4" ht="16.5">
      <c r="B3" s="164"/>
      <c r="C3" s="181"/>
      <c r="D3" s="181"/>
    </row>
    <row r="4" ht="17.25" thickBot="1"/>
    <row r="5" spans="1:17" ht="17.25">
      <c r="A5" s="25"/>
      <c r="B5" s="173" t="s">
        <v>1</v>
      </c>
      <c r="C5" s="174"/>
      <c r="D5" s="173" t="s">
        <v>2</v>
      </c>
      <c r="E5" s="174"/>
      <c r="F5" s="173" t="s">
        <v>3</v>
      </c>
      <c r="G5" s="174"/>
      <c r="H5" s="173" t="s">
        <v>4</v>
      </c>
      <c r="I5" s="174"/>
      <c r="J5" s="173" t="s">
        <v>80</v>
      </c>
      <c r="K5" s="174"/>
      <c r="L5" s="173" t="s">
        <v>36</v>
      </c>
      <c r="M5" s="174"/>
      <c r="N5" s="173" t="s">
        <v>33</v>
      </c>
      <c r="O5" s="174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8" ht="17.25">
      <c r="A7" s="31" t="s">
        <v>14</v>
      </c>
      <c r="B7" s="32">
        <v>563186</v>
      </c>
      <c r="C7" s="33">
        <f>1427.88+100932.13+458.77+42875.7+339.26+173094.68</f>
        <v>319128.42000000004</v>
      </c>
      <c r="D7" s="32">
        <f>4813+80000</f>
        <v>84813</v>
      </c>
      <c r="E7" s="33">
        <f>2432.61+30194.25</f>
        <v>32626.86</v>
      </c>
      <c r="F7" s="32">
        <f>139744+150000</f>
        <v>289744</v>
      </c>
      <c r="G7" s="33">
        <f>43057.5+249924.81+33149.32</f>
        <v>326131.63</v>
      </c>
      <c r="H7" s="32">
        <v>120000</v>
      </c>
      <c r="I7" s="37">
        <v>20256</v>
      </c>
      <c r="J7" s="32">
        <f>6000+54000</f>
        <v>60000</v>
      </c>
      <c r="K7" s="33">
        <f>1868+11814</f>
        <v>13682</v>
      </c>
      <c r="L7" s="32">
        <v>2000000</v>
      </c>
      <c r="M7" s="33">
        <f>95603.17+805810.55</f>
        <v>901413.7200000001</v>
      </c>
      <c r="N7" s="32">
        <v>400000</v>
      </c>
      <c r="O7" s="33">
        <v>175026.25</v>
      </c>
      <c r="P7" s="34">
        <f>+O7+M7+K7+G7+E7+C7+I7</f>
        <v>1788264.8800000004</v>
      </c>
      <c r="Q7" s="34">
        <f>+B7+D7+F7+J7+L7+N7-P7+H7</f>
        <v>1729478.1199999996</v>
      </c>
      <c r="R7" s="5"/>
    </row>
    <row r="8" spans="1:18" ht="17.25">
      <c r="A8" s="31" t="s">
        <v>13</v>
      </c>
      <c r="B8" s="32">
        <v>1428732</v>
      </c>
      <c r="C8" s="33">
        <f>1289.79+150843.94+4145.75+393029.14+1656.93+323505.28+322.19+35790.39</f>
        <v>910583.41</v>
      </c>
      <c r="D8" s="32">
        <v>6825</v>
      </c>
      <c r="E8" s="33">
        <f>389.63+13231.18</f>
        <v>13620.81</v>
      </c>
      <c r="F8" s="79">
        <v>51100</v>
      </c>
      <c r="G8" s="80">
        <v>107088.77</v>
      </c>
      <c r="H8" s="81">
        <v>0</v>
      </c>
      <c r="I8" s="82">
        <v>0</v>
      </c>
      <c r="J8" s="79">
        <v>15000</v>
      </c>
      <c r="K8" s="80">
        <f>126811.32+11376.5</f>
        <v>138187.82</v>
      </c>
      <c r="L8" s="83">
        <v>0</v>
      </c>
      <c r="M8" s="80">
        <v>1160</v>
      </c>
      <c r="N8" s="83">
        <v>0</v>
      </c>
      <c r="O8" s="80">
        <v>34060.32</v>
      </c>
      <c r="P8" s="34">
        <f>+O8+M8+K8+G8+E8+C8</f>
        <v>1204701.1300000001</v>
      </c>
      <c r="Q8" s="34">
        <f>+B8+D8+F8+J8+L8+N8-P8+H8</f>
        <v>296955.8699999999</v>
      </c>
      <c r="R8" s="5"/>
    </row>
    <row r="9" spans="1:18" ht="17.25">
      <c r="A9" s="31" t="s">
        <v>12</v>
      </c>
      <c r="B9" s="32">
        <v>623101</v>
      </c>
      <c r="C9" s="33">
        <f>2227.5+287822.14+1399.47+129193.62+43.6+59082.37</f>
        <v>479768.69999999995</v>
      </c>
      <c r="D9" s="32">
        <v>38923</v>
      </c>
      <c r="E9" s="33">
        <f>6366.11+94884.06</f>
        <v>101250.17</v>
      </c>
      <c r="F9" s="32">
        <v>116939</v>
      </c>
      <c r="G9" s="33">
        <f>2098.2+46526.29+104.18</f>
        <v>48728.67</v>
      </c>
      <c r="H9" s="32">
        <v>5000</v>
      </c>
      <c r="I9" s="37">
        <v>0</v>
      </c>
      <c r="J9" s="32">
        <f>3000+60000</f>
        <v>63000</v>
      </c>
      <c r="K9" s="33">
        <v>30692.41</v>
      </c>
      <c r="L9" s="32">
        <v>2555699</v>
      </c>
      <c r="M9" s="33">
        <f>30478.1+3419302.17+9992.9+373928.56</f>
        <v>3833701.73</v>
      </c>
      <c r="N9" s="32">
        <v>0</v>
      </c>
      <c r="O9" s="33">
        <v>116634.89</v>
      </c>
      <c r="P9" s="34">
        <f>+O9+M9+K9+G9+E9+C9+I9</f>
        <v>4610776.57</v>
      </c>
      <c r="Q9" s="34">
        <f>+B9+D9+F9+J9+L9+N9-P9+H9</f>
        <v>-1208114.5700000003</v>
      </c>
      <c r="R9" s="5"/>
    </row>
    <row r="10" spans="1:18" ht="17.25">
      <c r="A10" s="31" t="s">
        <v>79</v>
      </c>
      <c r="B10" s="32">
        <v>1310290</v>
      </c>
      <c r="C10" s="33">
        <f>4194.31+363760.18+1322.95+121989.39+2940.88+229124.52+1115.53+106234.25</f>
        <v>830682.01</v>
      </c>
      <c r="D10" s="32">
        <f>34377</f>
        <v>34377</v>
      </c>
      <c r="E10" s="33">
        <f>15189.96+192306.07</f>
        <v>207496.03</v>
      </c>
      <c r="F10" s="32">
        <v>822607</v>
      </c>
      <c r="G10" s="33">
        <f>517223.9+78.34</f>
        <v>517302.24000000005</v>
      </c>
      <c r="H10" s="32">
        <v>0</v>
      </c>
      <c r="I10" s="37">
        <v>1650</v>
      </c>
      <c r="J10" s="32">
        <v>39974</v>
      </c>
      <c r="K10" s="33">
        <v>7225.58</v>
      </c>
      <c r="L10" s="32">
        <v>11305360</v>
      </c>
      <c r="M10" s="33">
        <f>278612.03+10574761.21+2787.68</f>
        <v>10856160.92</v>
      </c>
      <c r="N10" s="32">
        <v>34000</v>
      </c>
      <c r="O10" s="33">
        <v>106410.67</v>
      </c>
      <c r="P10" s="34">
        <f>+O10+M10+K10+I10+G10+E10+C10</f>
        <v>12526927.45</v>
      </c>
      <c r="Q10" s="34">
        <f>+N10+L10+J10+H10+F10+D10+B10-P10</f>
        <v>1019680.5500000007</v>
      </c>
      <c r="R10" s="5"/>
    </row>
    <row r="11" spans="1:17" ht="9" customHeight="1">
      <c r="A11" s="31"/>
      <c r="B11" s="35"/>
      <c r="C11" s="33"/>
      <c r="D11" s="32"/>
      <c r="E11" s="33"/>
      <c r="F11" s="32"/>
      <c r="G11" s="33"/>
      <c r="H11" s="37"/>
      <c r="I11" s="37"/>
      <c r="J11" s="32"/>
      <c r="K11" s="33"/>
      <c r="L11" s="32"/>
      <c r="M11" s="33"/>
      <c r="N11" s="32"/>
      <c r="O11" s="33"/>
      <c r="P11" s="34"/>
      <c r="Q11" s="84"/>
    </row>
    <row r="12" spans="1:18" ht="18" thickBot="1">
      <c r="A12" s="38" t="s">
        <v>11</v>
      </c>
      <c r="B12" s="39">
        <f aca="true" t="shared" si="0" ref="B12:Q12">SUM(B7:B11)</f>
        <v>3925309</v>
      </c>
      <c r="C12" s="40">
        <f t="shared" si="0"/>
        <v>2540162.54</v>
      </c>
      <c r="D12" s="39">
        <f t="shared" si="0"/>
        <v>164938</v>
      </c>
      <c r="E12" s="40">
        <f t="shared" si="0"/>
        <v>354993.87</v>
      </c>
      <c r="F12" s="39">
        <f t="shared" si="0"/>
        <v>1280390</v>
      </c>
      <c r="G12" s="40">
        <f t="shared" si="0"/>
        <v>999251.31</v>
      </c>
      <c r="H12" s="39">
        <f t="shared" si="0"/>
        <v>125000</v>
      </c>
      <c r="I12" s="41">
        <f t="shared" si="0"/>
        <v>21906</v>
      </c>
      <c r="J12" s="39">
        <f t="shared" si="0"/>
        <v>177974</v>
      </c>
      <c r="K12" s="40">
        <f t="shared" si="0"/>
        <v>189787.81</v>
      </c>
      <c r="L12" s="39">
        <f t="shared" si="0"/>
        <v>15861059</v>
      </c>
      <c r="M12" s="40">
        <f t="shared" si="0"/>
        <v>15592436.370000001</v>
      </c>
      <c r="N12" s="39">
        <f t="shared" si="0"/>
        <v>434000</v>
      </c>
      <c r="O12" s="40">
        <f t="shared" si="0"/>
        <v>432132.13</v>
      </c>
      <c r="P12" s="42">
        <f t="shared" si="0"/>
        <v>20130670.03</v>
      </c>
      <c r="Q12" s="42">
        <f t="shared" si="0"/>
        <v>1837999.97</v>
      </c>
      <c r="R12" s="5"/>
    </row>
    <row r="13" spans="1:17" ht="17.25" thickBot="1">
      <c r="A13" s="43" t="s">
        <v>30</v>
      </c>
      <c r="B13" s="44"/>
      <c r="C13" s="139">
        <f>+C12/B12</f>
        <v>0.6471242238509122</v>
      </c>
      <c r="D13" s="45"/>
      <c r="E13" s="139">
        <f>+E12/D12</f>
        <v>2.1522867380470236</v>
      </c>
      <c r="F13" s="45"/>
      <c r="G13" s="139">
        <f>+G12/F12</f>
        <v>0.7804272994946853</v>
      </c>
      <c r="H13" s="45"/>
      <c r="I13" s="139">
        <f>+I12/H12</f>
        <v>0.175248</v>
      </c>
      <c r="J13" s="45"/>
      <c r="K13" s="139">
        <f>+K12/J12</f>
        <v>1.066379414970726</v>
      </c>
      <c r="L13" s="45"/>
      <c r="M13" s="139">
        <f>+M12/L12</f>
        <v>0.9830640167217083</v>
      </c>
      <c r="N13" s="47"/>
      <c r="O13" s="141">
        <f>+O12/N12</f>
        <v>0.9956961520737327</v>
      </c>
      <c r="P13" s="58"/>
      <c r="Q13" s="5"/>
    </row>
    <row r="14" spans="12:17" ht="16.5">
      <c r="L14" s="78"/>
      <c r="P14" s="52"/>
      <c r="Q14" s="5"/>
    </row>
    <row r="15" ht="16.5">
      <c r="P15" s="5"/>
    </row>
    <row r="37" spans="1:6" ht="16.5">
      <c r="A37" s="53"/>
      <c r="B37" s="53"/>
      <c r="C37" s="53"/>
      <c r="D37" s="53"/>
      <c r="E37" s="53"/>
      <c r="F37" s="53"/>
    </row>
    <row r="39" spans="3:6" ht="17.25">
      <c r="C39" s="65"/>
      <c r="D39" s="5"/>
      <c r="E39" s="53"/>
      <c r="F39" s="53"/>
    </row>
    <row r="40" spans="3:6" ht="17.25">
      <c r="C40" s="65"/>
      <c r="D40" s="5"/>
      <c r="E40" s="53"/>
      <c r="F40" s="53"/>
    </row>
    <row r="41" spans="3:6" ht="17.25">
      <c r="C41" s="65"/>
      <c r="D41" s="5"/>
      <c r="E41" s="53"/>
      <c r="F41" s="53"/>
    </row>
    <row r="42" spans="3:6" ht="17.25">
      <c r="C42" s="65"/>
      <c r="D42" s="5"/>
      <c r="E42" s="53"/>
      <c r="F42" s="53"/>
    </row>
    <row r="43" spans="3:6" ht="17.25">
      <c r="C43" s="65"/>
      <c r="D43" s="5"/>
      <c r="E43" s="53"/>
      <c r="F43" s="53"/>
    </row>
    <row r="44" spans="3:6" ht="17.25">
      <c r="C44" s="65"/>
      <c r="D44" s="5"/>
      <c r="E44" s="53"/>
      <c r="F44" s="53"/>
    </row>
    <row r="45" ht="17.25">
      <c r="C45" s="64"/>
    </row>
    <row r="48" spans="4:5" ht="16.5">
      <c r="D48" s="62"/>
      <c r="E48" s="62"/>
    </row>
    <row r="49" spans="1:5" ht="16.5">
      <c r="A49" s="62" t="s">
        <v>26</v>
      </c>
      <c r="B49" s="62" t="s">
        <v>27</v>
      </c>
      <c r="C49" s="62" t="s">
        <v>28</v>
      </c>
      <c r="D49" s="62"/>
      <c r="E49" s="62"/>
    </row>
    <row r="50" spans="1:3" ht="17.25">
      <c r="A50" s="64">
        <f>+B12</f>
        <v>3925309</v>
      </c>
      <c r="B50" s="65">
        <f>+C12</f>
        <v>2540162.54</v>
      </c>
      <c r="C50" s="62" t="s">
        <v>1</v>
      </c>
    </row>
    <row r="51" spans="1:3" ht="17.25">
      <c r="A51" s="64">
        <f>+D12</f>
        <v>164938</v>
      </c>
      <c r="B51" s="65">
        <f>+E12</f>
        <v>354993.87</v>
      </c>
      <c r="C51" s="62" t="s">
        <v>2</v>
      </c>
    </row>
    <row r="52" spans="1:3" ht="17.25">
      <c r="A52" s="64">
        <f>+F12</f>
        <v>1280390</v>
      </c>
      <c r="B52" s="65">
        <f>+G12</f>
        <v>999251.31</v>
      </c>
      <c r="C52" s="62" t="s">
        <v>3</v>
      </c>
    </row>
    <row r="53" spans="1:3" ht="17.25">
      <c r="A53" s="66">
        <f>+H12</f>
        <v>125000</v>
      </c>
      <c r="B53" s="65">
        <f>+I12</f>
        <v>21906</v>
      </c>
      <c r="C53" s="62" t="s">
        <v>34</v>
      </c>
    </row>
    <row r="54" spans="1:3" ht="17.25">
      <c r="A54" s="64">
        <f>+J12</f>
        <v>177974</v>
      </c>
      <c r="B54" s="65">
        <f>+K12</f>
        <v>189787.81</v>
      </c>
      <c r="C54" s="62" t="s">
        <v>32</v>
      </c>
    </row>
    <row r="55" spans="1:3" ht="17.25">
      <c r="A55" s="64">
        <f>+L12</f>
        <v>15861059</v>
      </c>
      <c r="B55" s="65">
        <f>+M12</f>
        <v>15592436.370000001</v>
      </c>
      <c r="C55" s="62" t="s">
        <v>29</v>
      </c>
    </row>
    <row r="56" spans="1:3" ht="17.25">
      <c r="A56" s="64">
        <f>+N12</f>
        <v>434000</v>
      </c>
      <c r="B56" s="65">
        <f>+O12</f>
        <v>432132.13</v>
      </c>
      <c r="C56" s="62" t="s">
        <v>35</v>
      </c>
    </row>
    <row r="57" spans="1:2" ht="17.25">
      <c r="A57" s="64">
        <v>2832908</v>
      </c>
      <c r="B57" s="65">
        <v>692231.2</v>
      </c>
    </row>
    <row r="58" spans="1:2" ht="17.25">
      <c r="A58" s="64"/>
      <c r="B58" s="64"/>
    </row>
    <row r="59" spans="1:2" ht="17.25">
      <c r="A59" s="64"/>
      <c r="B59" s="64"/>
    </row>
  </sheetData>
  <mergeCells count="10">
    <mergeCell ref="L2:M2"/>
    <mergeCell ref="B3:D3"/>
    <mergeCell ref="L5:M5"/>
    <mergeCell ref="N5:O5"/>
    <mergeCell ref="B5:C5"/>
    <mergeCell ref="D5:E5"/>
    <mergeCell ref="F5:G5"/>
    <mergeCell ref="J5:K5"/>
    <mergeCell ref="H5:I5"/>
    <mergeCell ref="B2:F2"/>
  </mergeCells>
  <printOptions/>
  <pageMargins left="0.71" right="0.48" top="1.04" bottom="0.5" header="0.31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4"/>
  <sheetViews>
    <sheetView workbookViewId="0" topLeftCell="I1">
      <selection activeCell="P15" sqref="P15"/>
    </sheetView>
  </sheetViews>
  <sheetFormatPr defaultColWidth="11.421875" defaultRowHeight="15"/>
  <cols>
    <col min="1" max="1" width="19.28125" style="1" customWidth="1"/>
    <col min="2" max="2" width="9.57421875" style="1" customWidth="1"/>
    <col min="3" max="3" width="12.28125" style="1" customWidth="1"/>
    <col min="4" max="4" width="7.8515625" style="1" customWidth="1"/>
    <col min="5" max="5" width="10.7109375" style="1" customWidth="1"/>
    <col min="6" max="6" width="9.421875" style="1" customWidth="1"/>
    <col min="7" max="7" width="11.8515625" style="1" customWidth="1"/>
    <col min="8" max="8" width="7.140625" style="1" customWidth="1"/>
    <col min="9" max="9" width="9.7109375" style="1" customWidth="1"/>
    <col min="10" max="10" width="7.57421875" style="1" customWidth="1"/>
    <col min="11" max="11" width="10.00390625" style="1" customWidth="1"/>
    <col min="12" max="12" width="7.140625" style="1" customWidth="1"/>
    <col min="13" max="13" width="9.28125" style="1" customWidth="1"/>
    <col min="14" max="14" width="9.57421875" style="1" customWidth="1"/>
    <col min="15" max="15" width="10.28125" style="1" customWidth="1"/>
    <col min="16" max="16" width="12.8515625" style="1" customWidth="1"/>
    <col min="17" max="17" width="12.421875" style="1" customWidth="1"/>
    <col min="18" max="18" width="15.00390625" style="1" bestFit="1" customWidth="1"/>
    <col min="19" max="16384" width="11.421875" style="1" customWidth="1"/>
  </cols>
  <sheetData>
    <row r="2" spans="1:15" ht="18">
      <c r="A2" s="146" t="s">
        <v>0</v>
      </c>
      <c r="B2" s="166" t="s">
        <v>112</v>
      </c>
      <c r="C2" s="182"/>
      <c r="D2" s="182"/>
      <c r="E2" s="182"/>
      <c r="F2" s="178"/>
      <c r="G2" s="178"/>
      <c r="H2" s="178"/>
      <c r="I2" s="179"/>
      <c r="J2" s="21"/>
      <c r="K2" s="175" t="s">
        <v>23</v>
      </c>
      <c r="L2" s="176"/>
      <c r="M2" s="150">
        <v>40756</v>
      </c>
      <c r="O2" s="56"/>
    </row>
    <row r="3" spans="2:16" ht="16.5">
      <c r="B3" s="164"/>
      <c r="C3" s="181"/>
      <c r="D3" s="181"/>
      <c r="E3" s="181"/>
      <c r="F3" s="67"/>
      <c r="P3" s="85"/>
    </row>
    <row r="5" ht="17.25" thickBot="1"/>
    <row r="6" spans="1:17" ht="17.25">
      <c r="A6" s="25"/>
      <c r="B6" s="173" t="s">
        <v>1</v>
      </c>
      <c r="C6" s="174"/>
      <c r="D6" s="173" t="s">
        <v>2</v>
      </c>
      <c r="E6" s="174"/>
      <c r="F6" s="173" t="s">
        <v>3</v>
      </c>
      <c r="G6" s="174"/>
      <c r="H6" s="173" t="s">
        <v>4</v>
      </c>
      <c r="I6" s="174"/>
      <c r="J6" s="173" t="s">
        <v>32</v>
      </c>
      <c r="K6" s="174"/>
      <c r="L6" s="173" t="s">
        <v>36</v>
      </c>
      <c r="M6" s="174"/>
      <c r="N6" s="173" t="s">
        <v>33</v>
      </c>
      <c r="O6" s="174"/>
      <c r="P6" s="26" t="s">
        <v>5</v>
      </c>
      <c r="Q6" s="26" t="s">
        <v>38</v>
      </c>
    </row>
    <row r="7" spans="1:17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8" t="s">
        <v>31</v>
      </c>
      <c r="O7" s="28" t="s">
        <v>37</v>
      </c>
      <c r="P7" s="29" t="s">
        <v>25</v>
      </c>
      <c r="Q7" s="30" t="s">
        <v>39</v>
      </c>
    </row>
    <row r="8" spans="1:18" ht="17.25">
      <c r="A8" s="86" t="s">
        <v>14</v>
      </c>
      <c r="B8" s="32">
        <v>717333</v>
      </c>
      <c r="C8" s="33">
        <f>7614.1+268211.75+1575.7+47665.95+14660.03+167+108151.31</f>
        <v>448045.84</v>
      </c>
      <c r="D8" s="32">
        <v>35244</v>
      </c>
      <c r="E8" s="33">
        <f>242.66+15528.32</f>
        <v>15770.98</v>
      </c>
      <c r="F8" s="32">
        <f>873641+250000+500000</f>
        <v>1623641</v>
      </c>
      <c r="G8" s="33">
        <f>24849.84+576132.73</f>
        <v>600982.57</v>
      </c>
      <c r="H8" s="32">
        <v>0</v>
      </c>
      <c r="I8" s="33">
        <v>0</v>
      </c>
      <c r="J8" s="32">
        <v>12001</v>
      </c>
      <c r="K8" s="33">
        <v>52476.53</v>
      </c>
      <c r="L8" s="32">
        <v>0</v>
      </c>
      <c r="M8" s="37">
        <v>5827.02</v>
      </c>
      <c r="N8" s="32">
        <f>600000+1124400</f>
        <v>1724400</v>
      </c>
      <c r="O8" s="33">
        <v>434550.31</v>
      </c>
      <c r="P8" s="34">
        <f>+O8+K8+G8+E8+C8+I8+M8</f>
        <v>1557653.25</v>
      </c>
      <c r="Q8" s="34">
        <f>+B8+D8+F8+H8+J8+N8-P8</f>
        <v>2554965.75</v>
      </c>
      <c r="R8" s="5"/>
    </row>
    <row r="9" spans="1:18" ht="17.25">
      <c r="A9" s="86" t="s">
        <v>88</v>
      </c>
      <c r="B9" s="32">
        <v>2564554</v>
      </c>
      <c r="C9" s="33">
        <f>39+193684.73+6496.88+764508.51+5126.96+476106.45+6119.51+463469.16</f>
        <v>1915551.2</v>
      </c>
      <c r="D9" s="32">
        <v>63681</v>
      </c>
      <c r="E9" s="33">
        <f>6206.21+54166.57+112</f>
        <v>60484.78</v>
      </c>
      <c r="F9" s="32">
        <v>55505</v>
      </c>
      <c r="G9" s="33">
        <f>4441.5+125476.64+408.68+2041.97+2555.45</f>
        <v>134924.24</v>
      </c>
      <c r="H9" s="32">
        <v>4000</v>
      </c>
      <c r="I9" s="33">
        <v>0</v>
      </c>
      <c r="J9" s="32">
        <v>54400</v>
      </c>
      <c r="K9" s="33">
        <f>5070.96+6015.8</f>
        <v>11086.76</v>
      </c>
      <c r="L9" s="32">
        <v>0</v>
      </c>
      <c r="M9" s="37">
        <v>1427.17</v>
      </c>
      <c r="N9" s="32">
        <v>0</v>
      </c>
      <c r="O9" s="33">
        <v>74261.4</v>
      </c>
      <c r="P9" s="34">
        <f>+O9+K9+G9+E9+C9+M9</f>
        <v>2197735.55</v>
      </c>
      <c r="Q9" s="34">
        <f>+B9+D9+F9+H9+J9+N9-P9</f>
        <v>544404.4500000002</v>
      </c>
      <c r="R9" s="5"/>
    </row>
    <row r="10" spans="1:18" ht="17.25">
      <c r="A10" s="86" t="s">
        <v>87</v>
      </c>
      <c r="B10" s="32">
        <v>2809106</v>
      </c>
      <c r="C10" s="33">
        <f>6725.4+491622.68+253.48+66447.43+36637.45+1634855.43</f>
        <v>2236541.87</v>
      </c>
      <c r="D10" s="32">
        <v>101570</v>
      </c>
      <c r="E10" s="33">
        <f>10758.99+90580.01</f>
        <v>101339</v>
      </c>
      <c r="F10" s="32">
        <v>1270487</v>
      </c>
      <c r="G10" s="33">
        <f>217967.48+987894.74+75.51+45819.42</f>
        <v>1251757.15</v>
      </c>
      <c r="H10" s="32">
        <v>0</v>
      </c>
      <c r="I10" s="33">
        <v>0</v>
      </c>
      <c r="J10" s="32">
        <v>0</v>
      </c>
      <c r="K10" s="33">
        <v>1117.26</v>
      </c>
      <c r="L10" s="32">
        <v>0</v>
      </c>
      <c r="M10" s="37">
        <v>3380.74</v>
      </c>
      <c r="N10" s="32">
        <v>0</v>
      </c>
      <c r="O10" s="33">
        <v>160242.1</v>
      </c>
      <c r="P10" s="34">
        <f>+O10+K10+G10+E10+C10+M10+I10</f>
        <v>3754378.12</v>
      </c>
      <c r="Q10" s="34">
        <f>+B10+D10+F10+H10+J10+N10-P10</f>
        <v>426784.8799999999</v>
      </c>
      <c r="R10" s="5"/>
    </row>
    <row r="11" spans="1:18" ht="17.25">
      <c r="A11" s="86" t="s">
        <v>89</v>
      </c>
      <c r="B11" s="32">
        <v>3242240</v>
      </c>
      <c r="C11" s="33">
        <f>1625.42+78278.88+42739.83+1928554.25+1188.18+166391.15</f>
        <v>2218777.71</v>
      </c>
      <c r="D11" s="32">
        <v>222807</v>
      </c>
      <c r="E11" s="33">
        <f>10976.58+91552.52</f>
        <v>102529.1</v>
      </c>
      <c r="F11" s="32">
        <v>223209</v>
      </c>
      <c r="G11" s="33">
        <f>3916.4+158597.31+130.06+231.92+12758.3</f>
        <v>175633.99</v>
      </c>
      <c r="H11" s="32">
        <v>0</v>
      </c>
      <c r="I11" s="33">
        <v>0</v>
      </c>
      <c r="J11" s="32">
        <v>0</v>
      </c>
      <c r="K11" s="33">
        <v>4137.5</v>
      </c>
      <c r="L11" s="32">
        <v>0</v>
      </c>
      <c r="M11" s="37">
        <v>797.3</v>
      </c>
      <c r="N11" s="32">
        <v>0</v>
      </c>
      <c r="O11" s="33">
        <v>72469.28</v>
      </c>
      <c r="P11" s="34">
        <f>+O11+K11+G11+E11+C11+M11</f>
        <v>2574344.88</v>
      </c>
      <c r="Q11" s="34">
        <f>+B11+D11+F11+H11+J11+N11+L11-P11</f>
        <v>1113911.12</v>
      </c>
      <c r="R11" s="163"/>
    </row>
    <row r="12" spans="1:17" ht="9" customHeight="1">
      <c r="A12" s="86"/>
      <c r="B12" s="35"/>
      <c r="C12" s="33"/>
      <c r="D12" s="35"/>
      <c r="E12" s="33"/>
      <c r="F12" s="35"/>
      <c r="G12" s="33"/>
      <c r="H12" s="35"/>
      <c r="I12" s="33"/>
      <c r="J12" s="35"/>
      <c r="K12" s="33"/>
      <c r="L12" s="37"/>
      <c r="M12" s="37"/>
      <c r="N12" s="35"/>
      <c r="O12" s="33"/>
      <c r="P12" s="34"/>
      <c r="Q12" s="34"/>
    </row>
    <row r="13" spans="1:17" ht="18" thickBot="1">
      <c r="A13" s="38" t="s">
        <v>11</v>
      </c>
      <c r="B13" s="39">
        <f aca="true" t="shared" si="0" ref="B13:Q13">SUM(B8:B12)</f>
        <v>9333233</v>
      </c>
      <c r="C13" s="40">
        <f t="shared" si="0"/>
        <v>6818916.62</v>
      </c>
      <c r="D13" s="39">
        <f t="shared" si="0"/>
        <v>423302</v>
      </c>
      <c r="E13" s="40">
        <f t="shared" si="0"/>
        <v>280123.86</v>
      </c>
      <c r="F13" s="39">
        <f t="shared" si="0"/>
        <v>3172842</v>
      </c>
      <c r="G13" s="40">
        <f t="shared" si="0"/>
        <v>2163297.95</v>
      </c>
      <c r="H13" s="39">
        <f t="shared" si="0"/>
        <v>4000</v>
      </c>
      <c r="I13" s="40">
        <f t="shared" si="0"/>
        <v>0</v>
      </c>
      <c r="J13" s="39">
        <f t="shared" si="0"/>
        <v>66401</v>
      </c>
      <c r="K13" s="40">
        <f t="shared" si="0"/>
        <v>68818.05</v>
      </c>
      <c r="L13" s="39">
        <f>SUM(L8:L12)</f>
        <v>0</v>
      </c>
      <c r="M13" s="40">
        <f>SUM(M8:M12)</f>
        <v>11432.23</v>
      </c>
      <c r="N13" s="39">
        <f t="shared" si="0"/>
        <v>1724400</v>
      </c>
      <c r="O13" s="40">
        <f t="shared" si="0"/>
        <v>741523.09</v>
      </c>
      <c r="P13" s="87">
        <f t="shared" si="0"/>
        <v>10084111.8</v>
      </c>
      <c r="Q13" s="152">
        <f t="shared" si="0"/>
        <v>4640066.2</v>
      </c>
    </row>
    <row r="14" spans="1:17" ht="17.25" thickBot="1">
      <c r="A14" s="38" t="s">
        <v>30</v>
      </c>
      <c r="B14" s="88"/>
      <c r="C14" s="93">
        <f>+C13/B13</f>
        <v>0.7306060633008948</v>
      </c>
      <c r="D14" s="89"/>
      <c r="E14" s="93">
        <f>+E13/D13</f>
        <v>0.6617588860907815</v>
      </c>
      <c r="F14" s="89"/>
      <c r="G14" s="93">
        <f>+G13/F13</f>
        <v>0.6818171059258545</v>
      </c>
      <c r="H14" s="89"/>
      <c r="I14" s="93">
        <f>+I13/H13</f>
        <v>0</v>
      </c>
      <c r="J14" s="89"/>
      <c r="K14" s="93">
        <f>+K13/J13</f>
        <v>1.0364008072167588</v>
      </c>
      <c r="L14" s="90"/>
      <c r="M14" s="47"/>
      <c r="N14" s="45"/>
      <c r="O14" s="141">
        <f>+O13/N13</f>
        <v>0.4300180294595221</v>
      </c>
      <c r="P14" s="58"/>
      <c r="Q14" s="5"/>
    </row>
    <row r="15" spans="1:17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0"/>
      <c r="Q15" s="78"/>
    </row>
    <row r="16" ht="16.5">
      <c r="P16" s="5"/>
    </row>
    <row r="18" ht="16.5">
      <c r="Q18" s="5"/>
    </row>
    <row r="41" spans="1:6" ht="16.5">
      <c r="A41" s="53"/>
      <c r="B41" s="53"/>
      <c r="C41" s="53"/>
      <c r="D41" s="53"/>
      <c r="E41" s="53"/>
      <c r="F41" s="53"/>
    </row>
    <row r="43" spans="3:6" ht="16.5">
      <c r="C43" s="52"/>
      <c r="D43" s="5"/>
      <c r="E43" s="53"/>
      <c r="F43" s="53"/>
    </row>
    <row r="44" spans="4:6" ht="16.5">
      <c r="D44" s="5"/>
      <c r="F44" s="53"/>
    </row>
    <row r="45" spans="1:6" ht="16.5">
      <c r="A45" s="62" t="s">
        <v>26</v>
      </c>
      <c r="B45" s="71" t="s">
        <v>27</v>
      </c>
      <c r="C45" s="91" t="s">
        <v>28</v>
      </c>
      <c r="D45" s="5"/>
      <c r="F45" s="53"/>
    </row>
    <row r="46" spans="1:6" ht="17.25">
      <c r="A46" s="64">
        <f>+B13</f>
        <v>9333233</v>
      </c>
      <c r="B46" s="65">
        <f>+C13</f>
        <v>6818916.62</v>
      </c>
      <c r="C46" s="91" t="s">
        <v>1</v>
      </c>
      <c r="D46" s="5"/>
      <c r="F46" s="53"/>
    </row>
    <row r="47" spans="1:6" ht="17.25">
      <c r="A47" s="64">
        <f>+D13</f>
        <v>423302</v>
      </c>
      <c r="B47" s="65">
        <f>+E13</f>
        <v>280123.86</v>
      </c>
      <c r="C47" s="91" t="s">
        <v>2</v>
      </c>
      <c r="D47" s="5"/>
      <c r="F47" s="53"/>
    </row>
    <row r="48" spans="1:6" ht="17.25">
      <c r="A48" s="64">
        <f>+F13</f>
        <v>3172842</v>
      </c>
      <c r="B48" s="65">
        <f>+G13</f>
        <v>2163297.95</v>
      </c>
      <c r="C48" s="91" t="s">
        <v>3</v>
      </c>
      <c r="D48" s="5"/>
      <c r="F48" s="53"/>
    </row>
    <row r="49" spans="1:6" ht="17.25">
      <c r="A49" s="66">
        <f>+H13</f>
        <v>4000</v>
      </c>
      <c r="B49" s="65">
        <f>+I13</f>
        <v>0</v>
      </c>
      <c r="C49" s="92" t="s">
        <v>34</v>
      </c>
      <c r="D49" s="5"/>
      <c r="F49" s="53"/>
    </row>
    <row r="50" spans="1:3" ht="17.25">
      <c r="A50" s="64">
        <f>+J13</f>
        <v>66401</v>
      </c>
      <c r="B50" s="65">
        <f>+K13</f>
        <v>68818.05</v>
      </c>
      <c r="C50" s="62" t="s">
        <v>32</v>
      </c>
    </row>
    <row r="51" spans="1:3" ht="17.25">
      <c r="A51" s="66">
        <f>+L13</f>
        <v>0</v>
      </c>
      <c r="B51" s="65">
        <f>+M13</f>
        <v>11432.23</v>
      </c>
      <c r="C51" s="62" t="s">
        <v>102</v>
      </c>
    </row>
    <row r="52" spans="1:3" ht="17.25">
      <c r="A52" s="64">
        <f>+N13</f>
        <v>1724400</v>
      </c>
      <c r="B52" s="65">
        <f>+O13</f>
        <v>741523.09</v>
      </c>
      <c r="C52" s="62" t="s">
        <v>35</v>
      </c>
    </row>
    <row r="53" spans="2:3" ht="16.5">
      <c r="B53" s="48"/>
      <c r="C53" s="62"/>
    </row>
    <row r="54" spans="1:2" ht="16.5">
      <c r="A54" s="1">
        <v>2161994.87</v>
      </c>
      <c r="B54" s="52">
        <v>623381.8</v>
      </c>
    </row>
  </sheetData>
  <mergeCells count="10">
    <mergeCell ref="B2:I2"/>
    <mergeCell ref="K2:L2"/>
    <mergeCell ref="B3:E3"/>
    <mergeCell ref="N6:O6"/>
    <mergeCell ref="J6:K6"/>
    <mergeCell ref="B6:C6"/>
    <mergeCell ref="D6:E6"/>
    <mergeCell ref="F6:G6"/>
    <mergeCell ref="H6:I6"/>
    <mergeCell ref="L6:M6"/>
  </mergeCells>
  <printOptions/>
  <pageMargins left="0.64" right="0.43" top="0.99" bottom="1" header="0.39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E1">
      <selection activeCell="P14" sqref="P14"/>
    </sheetView>
  </sheetViews>
  <sheetFormatPr defaultColWidth="11.421875" defaultRowHeight="15"/>
  <cols>
    <col min="1" max="1" width="22.7109375" style="1" customWidth="1"/>
    <col min="2" max="2" width="9.28125" style="1" customWidth="1"/>
    <col min="3" max="3" width="10.57421875" style="1" customWidth="1"/>
    <col min="4" max="4" width="7.7109375" style="1" customWidth="1"/>
    <col min="5" max="5" width="9.140625" style="1" customWidth="1"/>
    <col min="6" max="6" width="7.8515625" style="1" customWidth="1"/>
    <col min="7" max="7" width="9.57421875" style="1" customWidth="1"/>
    <col min="8" max="8" width="7.57421875" style="1" customWidth="1"/>
    <col min="9" max="9" width="10.57421875" style="1" customWidth="1"/>
    <col min="10" max="10" width="7.28125" style="1" customWidth="1"/>
    <col min="11" max="11" width="9.421875" style="1" customWidth="1"/>
    <col min="12" max="12" width="7.140625" style="1" customWidth="1"/>
    <col min="13" max="13" width="9.57421875" style="1" customWidth="1"/>
    <col min="14" max="14" width="7.57421875" style="1" customWidth="1"/>
    <col min="15" max="15" width="10.140625" style="1" customWidth="1"/>
    <col min="16" max="16" width="10.8515625" style="1" customWidth="1"/>
    <col min="17" max="17" width="11.8515625" style="1" customWidth="1"/>
    <col min="18" max="16384" width="11.421875" style="1" customWidth="1"/>
  </cols>
  <sheetData>
    <row r="2" spans="1:15" ht="18">
      <c r="A2" s="146" t="s">
        <v>0</v>
      </c>
      <c r="B2" s="166" t="s">
        <v>113</v>
      </c>
      <c r="C2" s="166"/>
      <c r="D2" s="171"/>
      <c r="E2" s="171"/>
      <c r="I2" s="175" t="s">
        <v>23</v>
      </c>
      <c r="J2" s="175"/>
      <c r="K2" s="150">
        <v>40756</v>
      </c>
      <c r="L2" s="125"/>
      <c r="M2" s="125"/>
      <c r="O2" s="23"/>
    </row>
    <row r="3" spans="2:3" ht="16.5">
      <c r="B3" s="164"/>
      <c r="C3" s="164"/>
    </row>
    <row r="5" ht="17.25" thickBot="1"/>
    <row r="6" spans="1:17" ht="17.25">
      <c r="A6" s="25"/>
      <c r="B6" s="173" t="s">
        <v>1</v>
      </c>
      <c r="C6" s="174"/>
      <c r="D6" s="173" t="s">
        <v>2</v>
      </c>
      <c r="E6" s="174"/>
      <c r="F6" s="173" t="s">
        <v>3</v>
      </c>
      <c r="G6" s="174"/>
      <c r="H6" s="173" t="s">
        <v>4</v>
      </c>
      <c r="I6" s="174"/>
      <c r="J6" s="173" t="s">
        <v>32</v>
      </c>
      <c r="K6" s="174"/>
      <c r="L6" s="127" t="s">
        <v>36</v>
      </c>
      <c r="M6" s="75"/>
      <c r="N6" s="173" t="s">
        <v>33</v>
      </c>
      <c r="O6" s="174"/>
      <c r="P6" s="26" t="s">
        <v>5</v>
      </c>
      <c r="Q6" s="26" t="s">
        <v>38</v>
      </c>
    </row>
    <row r="7" spans="1:17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8" t="s">
        <v>31</v>
      </c>
      <c r="O7" s="28" t="s">
        <v>37</v>
      </c>
      <c r="P7" s="29" t="s">
        <v>25</v>
      </c>
      <c r="Q7" s="30" t="s">
        <v>39</v>
      </c>
    </row>
    <row r="8" spans="1:18" ht="17.25">
      <c r="A8" s="31" t="s">
        <v>98</v>
      </c>
      <c r="B8" s="32">
        <v>890569</v>
      </c>
      <c r="C8" s="33">
        <f>21385.69+554628.57</f>
        <v>576014.2599999999</v>
      </c>
      <c r="D8" s="68">
        <v>69700</v>
      </c>
      <c r="E8" s="33">
        <f>389.2+18039.35</f>
        <v>18428.55</v>
      </c>
      <c r="F8" s="68">
        <v>240000</v>
      </c>
      <c r="G8" s="33">
        <f>5670.94+58911.94</f>
        <v>64582.880000000005</v>
      </c>
      <c r="H8" s="68">
        <v>120000</v>
      </c>
      <c r="I8" s="33">
        <f>26398.5+126282.23</f>
        <v>152680.72999999998</v>
      </c>
      <c r="J8" s="68">
        <v>7000</v>
      </c>
      <c r="K8" s="33">
        <v>3112.14</v>
      </c>
      <c r="L8" s="68">
        <v>72000</v>
      </c>
      <c r="M8" s="33">
        <v>0</v>
      </c>
      <c r="N8" s="68">
        <v>60000</v>
      </c>
      <c r="O8" s="33">
        <v>52539.51</v>
      </c>
      <c r="P8" s="34">
        <f>+C8+G8+I8+K8+O8+E8</f>
        <v>867358.07</v>
      </c>
      <c r="Q8" s="34">
        <f>+B8+D8+F8+H8+J8+N8-P8+L8</f>
        <v>591910.93</v>
      </c>
      <c r="R8" s="158"/>
    </row>
    <row r="9" spans="1:17" ht="17.25">
      <c r="A9" s="31" t="s">
        <v>142</v>
      </c>
      <c r="B9" s="32">
        <v>90102</v>
      </c>
      <c r="C9" s="33">
        <f>2769.55+54148.06</f>
        <v>56917.61</v>
      </c>
      <c r="D9" s="68">
        <v>0</v>
      </c>
      <c r="E9" s="33">
        <v>0</v>
      </c>
      <c r="F9" s="68">
        <v>0</v>
      </c>
      <c r="G9" s="33">
        <v>0</v>
      </c>
      <c r="H9" s="68">
        <v>0</v>
      </c>
      <c r="I9" s="33">
        <f>5000+7500</f>
        <v>12500</v>
      </c>
      <c r="J9" s="68">
        <v>0</v>
      </c>
      <c r="K9" s="33">
        <v>99.29</v>
      </c>
      <c r="L9" s="68">
        <v>0</v>
      </c>
      <c r="M9" s="33">
        <v>0</v>
      </c>
      <c r="N9" s="68">
        <v>0</v>
      </c>
      <c r="O9" s="33">
        <v>1086.44</v>
      </c>
      <c r="P9" s="34">
        <f>+C9+G9+I9+K9+O9+E9</f>
        <v>70603.34</v>
      </c>
      <c r="Q9" s="34">
        <f>+B9+D9+F9+H9+J9+N9-P9</f>
        <v>19498.660000000003</v>
      </c>
    </row>
    <row r="10" spans="1:17" ht="17.25">
      <c r="A10" s="31" t="s">
        <v>114</v>
      </c>
      <c r="B10" s="32">
        <v>51854</v>
      </c>
      <c r="C10" s="33">
        <f>180.5+32237.76</f>
        <v>32418.26</v>
      </c>
      <c r="D10" s="68">
        <v>0</v>
      </c>
      <c r="E10" s="33">
        <v>0</v>
      </c>
      <c r="F10" s="68">
        <v>0</v>
      </c>
      <c r="G10" s="33">
        <v>0</v>
      </c>
      <c r="H10" s="68">
        <v>0</v>
      </c>
      <c r="I10" s="33">
        <v>0</v>
      </c>
      <c r="J10" s="68">
        <v>0</v>
      </c>
      <c r="K10" s="33">
        <v>0</v>
      </c>
      <c r="L10" s="68">
        <v>0</v>
      </c>
      <c r="M10" s="33">
        <v>0</v>
      </c>
      <c r="N10" s="68">
        <v>0</v>
      </c>
      <c r="O10" s="33">
        <v>1176.9</v>
      </c>
      <c r="P10" s="34">
        <f>+C10+G10+I10+K10+O10+E10</f>
        <v>33595.159999999996</v>
      </c>
      <c r="Q10" s="34">
        <f>+B10+D10+F10+H10+J10+N10-P10</f>
        <v>18258.840000000004</v>
      </c>
    </row>
    <row r="11" spans="1:17" ht="10.5" customHeight="1">
      <c r="A11" s="31"/>
      <c r="B11" s="32"/>
      <c r="C11" s="33"/>
      <c r="D11" s="32"/>
      <c r="E11" s="33"/>
      <c r="F11" s="32"/>
      <c r="G11" s="33"/>
      <c r="H11" s="32"/>
      <c r="I11" s="33"/>
      <c r="J11" s="32"/>
      <c r="K11" s="33"/>
      <c r="L11" s="32"/>
      <c r="M11" s="33"/>
      <c r="N11" s="32"/>
      <c r="O11" s="33"/>
      <c r="P11" s="34"/>
      <c r="Q11" s="34"/>
    </row>
    <row r="12" spans="1:17" ht="18" thickBot="1">
      <c r="A12" s="38" t="s">
        <v>11</v>
      </c>
      <c r="B12" s="39">
        <f aca="true" t="shared" si="0" ref="B12:Q12">SUM(B8:B10)</f>
        <v>1032525</v>
      </c>
      <c r="C12" s="40">
        <f t="shared" si="0"/>
        <v>665350.1299999999</v>
      </c>
      <c r="D12" s="39">
        <f t="shared" si="0"/>
        <v>69700</v>
      </c>
      <c r="E12" s="40">
        <f t="shared" si="0"/>
        <v>18428.55</v>
      </c>
      <c r="F12" s="39">
        <f>SUM(F8:F11)</f>
        <v>240000</v>
      </c>
      <c r="G12" s="40">
        <f t="shared" si="0"/>
        <v>64582.880000000005</v>
      </c>
      <c r="H12" s="39">
        <f t="shared" si="0"/>
        <v>120000</v>
      </c>
      <c r="I12" s="40">
        <f t="shared" si="0"/>
        <v>165180.72999999998</v>
      </c>
      <c r="J12" s="39">
        <f t="shared" si="0"/>
        <v>7000</v>
      </c>
      <c r="K12" s="40">
        <f t="shared" si="0"/>
        <v>3211.43</v>
      </c>
      <c r="L12" s="39">
        <f t="shared" si="0"/>
        <v>72000</v>
      </c>
      <c r="M12" s="40">
        <f t="shared" si="0"/>
        <v>0</v>
      </c>
      <c r="N12" s="39">
        <f t="shared" si="0"/>
        <v>60000</v>
      </c>
      <c r="O12" s="40">
        <f t="shared" si="0"/>
        <v>54802.850000000006</v>
      </c>
      <c r="P12" s="42">
        <f t="shared" si="0"/>
        <v>971556.57</v>
      </c>
      <c r="Q12" s="42">
        <f t="shared" si="0"/>
        <v>629668.43</v>
      </c>
    </row>
    <row r="13" spans="1:17" ht="17.25" thickBot="1">
      <c r="A13" s="43" t="s">
        <v>30</v>
      </c>
      <c r="B13" s="88"/>
      <c r="C13" s="93">
        <f>+C12/B12</f>
        <v>0.6443913028740224</v>
      </c>
      <c r="D13" s="93"/>
      <c r="E13" s="93">
        <f>+E12/D12</f>
        <v>0.26439813486370156</v>
      </c>
      <c r="F13" s="93"/>
      <c r="G13" s="93">
        <f>+G12/F12</f>
        <v>0.26909533333333335</v>
      </c>
      <c r="H13" s="93"/>
      <c r="I13" s="93">
        <f>+I12/H12</f>
        <v>1.3765060833333331</v>
      </c>
      <c r="J13" s="89"/>
      <c r="K13" s="93">
        <f>+K12/J12</f>
        <v>0.4587757142857143</v>
      </c>
      <c r="L13" s="90"/>
      <c r="M13" s="147">
        <f>+M12/L12</f>
        <v>0</v>
      </c>
      <c r="N13" s="45"/>
      <c r="O13" s="141">
        <f>+O12/N12</f>
        <v>0.9133808333333334</v>
      </c>
      <c r="P13" s="58"/>
      <c r="Q13" s="94"/>
    </row>
    <row r="14" spans="1:18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140"/>
      <c r="Q14" s="5"/>
      <c r="R14" s="5"/>
    </row>
    <row r="41" spans="1:8" ht="16.5">
      <c r="A41" s="53"/>
      <c r="B41" s="53"/>
      <c r="C41" s="53"/>
      <c r="D41" s="53"/>
      <c r="G41" s="53"/>
      <c r="H41" s="53"/>
    </row>
    <row r="43" spans="3:8" ht="16.5">
      <c r="C43" s="52"/>
      <c r="D43" s="5"/>
      <c r="G43" s="53"/>
      <c r="H43" s="53"/>
    </row>
    <row r="44" spans="4:8" ht="16.5">
      <c r="D44" s="5"/>
      <c r="H44" s="53"/>
    </row>
    <row r="45" spans="1:8" ht="16.5">
      <c r="A45" s="62" t="s">
        <v>26</v>
      </c>
      <c r="B45" s="71" t="s">
        <v>27</v>
      </c>
      <c r="C45" s="91" t="s">
        <v>28</v>
      </c>
      <c r="D45" s="5"/>
      <c r="H45" s="53"/>
    </row>
    <row r="46" spans="1:8" ht="17.25">
      <c r="A46" s="64">
        <f>+B12</f>
        <v>1032525</v>
      </c>
      <c r="B46" s="65">
        <f>+C12</f>
        <v>665350.1299999999</v>
      </c>
      <c r="C46" s="91" t="s">
        <v>1</v>
      </c>
      <c r="D46" s="5"/>
      <c r="H46" s="53"/>
    </row>
    <row r="47" spans="1:8" ht="17.25">
      <c r="A47" s="64">
        <f>+D12</f>
        <v>69700</v>
      </c>
      <c r="B47" s="65">
        <f>+E12</f>
        <v>18428.55</v>
      </c>
      <c r="C47" s="91" t="s">
        <v>2</v>
      </c>
      <c r="D47" s="5"/>
      <c r="H47" s="53"/>
    </row>
    <row r="48" spans="1:8" ht="17.25">
      <c r="A48" s="64">
        <f>+F12</f>
        <v>240000</v>
      </c>
      <c r="B48" s="65">
        <f>+G12</f>
        <v>64582.880000000005</v>
      </c>
      <c r="C48" s="91" t="s">
        <v>3</v>
      </c>
      <c r="D48" s="5"/>
      <c r="H48" s="53"/>
    </row>
    <row r="49" spans="1:3" ht="17.25">
      <c r="A49" s="64">
        <f>+H12</f>
        <v>120000</v>
      </c>
      <c r="B49" s="65">
        <f>+I12</f>
        <v>165180.72999999998</v>
      </c>
      <c r="C49" s="62" t="s">
        <v>34</v>
      </c>
    </row>
    <row r="50" spans="1:3" ht="17.25">
      <c r="A50" s="64">
        <f>+J12</f>
        <v>7000</v>
      </c>
      <c r="B50" s="65">
        <f>+K12</f>
        <v>3211.43</v>
      </c>
      <c r="C50" s="62" t="s">
        <v>32</v>
      </c>
    </row>
    <row r="51" spans="1:3" ht="17.25">
      <c r="A51" s="66">
        <f>+L12</f>
        <v>72000</v>
      </c>
      <c r="B51" s="65">
        <f>+M12</f>
        <v>0</v>
      </c>
      <c r="C51" s="62" t="s">
        <v>97</v>
      </c>
    </row>
    <row r="52" spans="1:3" ht="17.25">
      <c r="A52" s="64">
        <f>+N12</f>
        <v>60000</v>
      </c>
      <c r="B52" s="65">
        <f>+O12</f>
        <v>54802.850000000006</v>
      </c>
      <c r="C52" s="62" t="s">
        <v>35</v>
      </c>
    </row>
    <row r="53" spans="1:3" ht="17.25">
      <c r="A53" s="64">
        <v>565834</v>
      </c>
      <c r="B53" s="65">
        <v>158443.27</v>
      </c>
      <c r="C53" s="95"/>
    </row>
    <row r="54" ht="16.5">
      <c r="C54" s="95"/>
    </row>
    <row r="55" ht="16.5">
      <c r="C55" s="95"/>
    </row>
  </sheetData>
  <mergeCells count="9">
    <mergeCell ref="B2:E2"/>
    <mergeCell ref="I2:J2"/>
    <mergeCell ref="B3:C3"/>
    <mergeCell ref="J6:K6"/>
    <mergeCell ref="N6:O6"/>
    <mergeCell ref="B6:C6"/>
    <mergeCell ref="D6:E6"/>
    <mergeCell ref="F6:G6"/>
    <mergeCell ref="H6:I6"/>
  </mergeCells>
  <printOptions/>
  <pageMargins left="0.91" right="0.63" top="0.83" bottom="0.5" header="0.38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F1">
      <selection activeCell="N14" sqref="N14"/>
    </sheetView>
  </sheetViews>
  <sheetFormatPr defaultColWidth="11.421875" defaultRowHeight="15"/>
  <cols>
    <col min="1" max="1" width="8.28125" style="1" customWidth="1"/>
    <col min="2" max="2" width="8.7109375" style="1" customWidth="1"/>
    <col min="3" max="3" width="10.57421875" style="1" customWidth="1"/>
    <col min="4" max="4" width="7.8515625" style="1" customWidth="1"/>
    <col min="5" max="5" width="8.7109375" style="1" customWidth="1"/>
    <col min="6" max="6" width="7.57421875" style="1" customWidth="1"/>
    <col min="7" max="7" width="10.00390625" style="1" customWidth="1"/>
    <col min="8" max="8" width="7.28125" style="1" customWidth="1"/>
    <col min="9" max="9" width="9.140625" style="1" customWidth="1"/>
    <col min="10" max="10" width="7.421875" style="1" customWidth="1"/>
    <col min="11" max="11" width="9.28125" style="1" customWidth="1"/>
    <col min="12" max="12" width="7.28125" style="1" customWidth="1"/>
    <col min="13" max="13" width="9.140625" style="1" customWidth="1"/>
    <col min="14" max="15" width="10.57421875" style="1" customWidth="1"/>
    <col min="16" max="16" width="11.8515625" style="1" bestFit="1" customWidth="1"/>
    <col min="17" max="16384" width="11.421875" style="1" customWidth="1"/>
  </cols>
  <sheetData>
    <row r="2" spans="1:12" ht="18">
      <c r="A2" s="146" t="s">
        <v>0</v>
      </c>
      <c r="B2" s="166" t="s">
        <v>115</v>
      </c>
      <c r="C2" s="182"/>
      <c r="D2" s="171"/>
      <c r="E2" s="171"/>
      <c r="I2" s="175" t="s">
        <v>23</v>
      </c>
      <c r="J2" s="175"/>
      <c r="K2" s="150">
        <v>40756</v>
      </c>
      <c r="L2" s="20"/>
    </row>
    <row r="3" spans="2:4" ht="16.5">
      <c r="B3" s="164"/>
      <c r="C3" s="181"/>
      <c r="D3" s="96"/>
    </row>
    <row r="5" ht="17.25" thickBot="1"/>
    <row r="6" spans="1:15" ht="17.25">
      <c r="A6" s="25"/>
      <c r="B6" s="173" t="s">
        <v>1</v>
      </c>
      <c r="C6" s="174"/>
      <c r="D6" s="173" t="s">
        <v>2</v>
      </c>
      <c r="E6" s="174"/>
      <c r="F6" s="173" t="s">
        <v>3</v>
      </c>
      <c r="G6" s="174"/>
      <c r="H6" s="173" t="s">
        <v>4</v>
      </c>
      <c r="I6" s="174"/>
      <c r="J6" s="173" t="s">
        <v>32</v>
      </c>
      <c r="K6" s="174"/>
      <c r="L6" s="173" t="s">
        <v>33</v>
      </c>
      <c r="M6" s="174"/>
      <c r="N6" s="26" t="s">
        <v>5</v>
      </c>
      <c r="O6" s="26" t="s">
        <v>38</v>
      </c>
    </row>
    <row r="7" spans="1:15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9" t="s">
        <v>25</v>
      </c>
      <c r="O7" s="30" t="s">
        <v>39</v>
      </c>
    </row>
    <row r="8" spans="1:15" ht="16.5">
      <c r="A8" s="97"/>
      <c r="B8" s="98"/>
      <c r="C8" s="33"/>
      <c r="D8" s="36"/>
      <c r="E8" s="33"/>
      <c r="F8" s="36"/>
      <c r="G8" s="33"/>
      <c r="H8" s="36"/>
      <c r="I8" s="33"/>
      <c r="J8" s="36"/>
      <c r="K8" s="33"/>
      <c r="L8" s="36"/>
      <c r="M8" s="33"/>
      <c r="N8" s="34"/>
      <c r="O8" s="34"/>
    </row>
    <row r="9" spans="1:16" ht="17.25">
      <c r="A9" s="31" t="s">
        <v>90</v>
      </c>
      <c r="B9" s="57">
        <v>336693</v>
      </c>
      <c r="C9" s="33">
        <f>7393.17+211146.71</f>
        <v>218539.88</v>
      </c>
      <c r="D9" s="76">
        <v>2170</v>
      </c>
      <c r="E9" s="33">
        <v>101.2</v>
      </c>
      <c r="F9" s="76">
        <v>125960</v>
      </c>
      <c r="G9" s="33">
        <f>50.78+38123.62</f>
        <v>38174.4</v>
      </c>
      <c r="H9" s="76">
        <v>0</v>
      </c>
      <c r="I9" s="33">
        <v>0</v>
      </c>
      <c r="J9" s="76">
        <v>0</v>
      </c>
      <c r="K9" s="33">
        <v>8271.81</v>
      </c>
      <c r="L9" s="76">
        <v>0</v>
      </c>
      <c r="M9" s="33">
        <v>19383.44</v>
      </c>
      <c r="N9" s="34">
        <f>+M9+K9+I9+G9+E9+C9</f>
        <v>284470.73</v>
      </c>
      <c r="O9" s="34">
        <f>+B9+D9+F9+H9+J9+L9-N9</f>
        <v>180352.27000000002</v>
      </c>
      <c r="P9" s="5"/>
    </row>
    <row r="10" spans="1:15" ht="16.5">
      <c r="A10" s="97"/>
      <c r="B10" s="98"/>
      <c r="C10" s="33"/>
      <c r="D10" s="36"/>
      <c r="E10" s="33"/>
      <c r="F10" s="36"/>
      <c r="G10" s="33"/>
      <c r="H10" s="36"/>
      <c r="I10" s="33"/>
      <c r="J10" s="36"/>
      <c r="K10" s="33"/>
      <c r="L10" s="36"/>
      <c r="M10" s="33"/>
      <c r="N10" s="34"/>
      <c r="O10" s="34"/>
    </row>
    <row r="11" spans="1:15" ht="16.5">
      <c r="A11" s="97"/>
      <c r="B11" s="98"/>
      <c r="C11" s="33"/>
      <c r="D11" s="36"/>
      <c r="E11" s="33"/>
      <c r="F11" s="36"/>
      <c r="G11" s="33"/>
      <c r="H11" s="36"/>
      <c r="I11" s="33"/>
      <c r="J11" s="36"/>
      <c r="K11" s="33"/>
      <c r="L11" s="36"/>
      <c r="M11" s="33"/>
      <c r="N11" s="34"/>
      <c r="O11" s="34"/>
    </row>
    <row r="12" spans="1:15" ht="18" thickBot="1">
      <c r="A12" s="38" t="s">
        <v>11</v>
      </c>
      <c r="B12" s="39">
        <f>SUM(B9:B11)</f>
        <v>336693</v>
      </c>
      <c r="C12" s="40">
        <f>SUM(C9)</f>
        <v>218539.88</v>
      </c>
      <c r="D12" s="39">
        <f>SUM(D9:D11)</f>
        <v>2170</v>
      </c>
      <c r="E12" s="40">
        <f>SUM(E9)</f>
        <v>101.2</v>
      </c>
      <c r="F12" s="39">
        <f>SUM(F9:F11)</f>
        <v>125960</v>
      </c>
      <c r="G12" s="40">
        <f>SUM(G9)</f>
        <v>38174.4</v>
      </c>
      <c r="H12" s="99">
        <f>SUM(H9:H11)</f>
        <v>0</v>
      </c>
      <c r="I12" s="40">
        <v>0</v>
      </c>
      <c r="J12" s="39">
        <f>SUM(J9:J11)</f>
        <v>0</v>
      </c>
      <c r="K12" s="40">
        <f>SUM(K9)</f>
        <v>8271.81</v>
      </c>
      <c r="L12" s="39">
        <f>SUM(L9:L11)</f>
        <v>0</v>
      </c>
      <c r="M12" s="40">
        <f>SUM(M9)</f>
        <v>19383.44</v>
      </c>
      <c r="N12" s="42">
        <f>SUM(N9)</f>
        <v>284470.73</v>
      </c>
      <c r="O12" s="42">
        <f>SUM(O9)</f>
        <v>180352.27000000002</v>
      </c>
    </row>
    <row r="13" spans="1:15" ht="17.25" thickBot="1">
      <c r="A13" s="43" t="s">
        <v>30</v>
      </c>
      <c r="B13" s="88"/>
      <c r="C13" s="93">
        <f>+C12/B12</f>
        <v>0.6490775870006208</v>
      </c>
      <c r="D13" s="89"/>
      <c r="E13" s="93">
        <f>+E12/D12</f>
        <v>0.046635944700460834</v>
      </c>
      <c r="F13" s="89"/>
      <c r="G13" s="93">
        <f>+G12/F12</f>
        <v>0.30306764052080026</v>
      </c>
      <c r="H13" s="89"/>
      <c r="I13" s="89"/>
      <c r="J13" s="89"/>
      <c r="K13" s="47"/>
      <c r="L13" s="45"/>
      <c r="M13" s="141"/>
      <c r="N13" s="58"/>
      <c r="O13" s="5"/>
    </row>
    <row r="14" spans="1:14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33" spans="5:10" ht="16.5">
      <c r="E33" s="61"/>
      <c r="F33" s="61"/>
      <c r="J33" s="61"/>
    </row>
    <row r="44" spans="1:8" ht="16.5">
      <c r="A44" s="53"/>
      <c r="B44" s="53"/>
      <c r="C44" s="53"/>
      <c r="D44" s="53"/>
      <c r="G44" s="53"/>
      <c r="H44" s="53"/>
    </row>
    <row r="46" spans="3:8" ht="16.5">
      <c r="C46" s="5"/>
      <c r="D46" s="5"/>
      <c r="G46" s="53"/>
      <c r="H46" s="53"/>
    </row>
    <row r="47" spans="4:8" ht="16.5">
      <c r="D47" s="5"/>
      <c r="H47" s="53"/>
    </row>
    <row r="48" spans="1:8" ht="16.5">
      <c r="A48" s="71" t="s">
        <v>26</v>
      </c>
      <c r="B48" s="71" t="s">
        <v>27</v>
      </c>
      <c r="C48" s="91" t="s">
        <v>28</v>
      </c>
      <c r="D48" s="5"/>
      <c r="H48" s="53"/>
    </row>
    <row r="49" spans="1:8" ht="17.25">
      <c r="A49" s="65">
        <f>+B12</f>
        <v>336693</v>
      </c>
      <c r="B49" s="65">
        <f>+C12</f>
        <v>218539.88</v>
      </c>
      <c r="C49" s="91" t="s">
        <v>1</v>
      </c>
      <c r="D49" s="5"/>
      <c r="H49" s="53"/>
    </row>
    <row r="50" spans="1:8" ht="17.25">
      <c r="A50" s="65">
        <f>+D12</f>
        <v>2170</v>
      </c>
      <c r="B50" s="65">
        <f>+E12</f>
        <v>101.2</v>
      </c>
      <c r="C50" s="91" t="s">
        <v>2</v>
      </c>
      <c r="D50" s="5"/>
      <c r="H50" s="53"/>
    </row>
    <row r="51" spans="1:8" ht="17.25">
      <c r="A51" s="65">
        <f>+F12</f>
        <v>125960</v>
      </c>
      <c r="B51" s="65">
        <f>+G12</f>
        <v>38174.4</v>
      </c>
      <c r="C51" s="91" t="s">
        <v>3</v>
      </c>
      <c r="D51" s="5"/>
      <c r="H51" s="53"/>
    </row>
    <row r="52" spans="1:3" ht="17.25">
      <c r="A52" s="65">
        <f>+J12</f>
        <v>0</v>
      </c>
      <c r="B52" s="65">
        <f>+K12</f>
        <v>8271.81</v>
      </c>
      <c r="C52" s="62" t="s">
        <v>32</v>
      </c>
    </row>
    <row r="53" spans="1:3" ht="17.25">
      <c r="A53" s="65">
        <f>+L12</f>
        <v>0</v>
      </c>
      <c r="B53" s="65">
        <f>+M12</f>
        <v>19383.44</v>
      </c>
      <c r="C53" s="62" t="s">
        <v>35</v>
      </c>
    </row>
    <row r="54" spans="1:2" ht="17.25">
      <c r="A54" s="64"/>
      <c r="B54" s="64"/>
    </row>
    <row r="55" spans="1:2" ht="17.25">
      <c r="A55" s="64">
        <v>167558</v>
      </c>
      <c r="B55" s="65">
        <v>40952.32</v>
      </c>
    </row>
    <row r="56" spans="1:2" ht="17.25">
      <c r="A56" s="64"/>
      <c r="B56" s="64"/>
    </row>
  </sheetData>
  <mergeCells count="9">
    <mergeCell ref="B2:E2"/>
    <mergeCell ref="F6:G6"/>
    <mergeCell ref="B3:C3"/>
    <mergeCell ref="D6:E6"/>
    <mergeCell ref="B6:C6"/>
    <mergeCell ref="I2:J2"/>
    <mergeCell ref="L6:M6"/>
    <mergeCell ref="J6:K6"/>
    <mergeCell ref="H6:I6"/>
  </mergeCells>
  <printOptions/>
  <pageMargins left="2.28" right="0.75" top="0.88" bottom="0.54" header="0.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J1">
      <selection activeCell="P15" sqref="P15"/>
    </sheetView>
  </sheetViews>
  <sheetFormatPr defaultColWidth="11.421875" defaultRowHeight="15"/>
  <cols>
    <col min="1" max="1" width="13.7109375" style="1" customWidth="1"/>
    <col min="2" max="2" width="10.140625" style="1" customWidth="1"/>
    <col min="3" max="3" width="13.421875" style="1" customWidth="1"/>
    <col min="4" max="4" width="9.140625" style="1" customWidth="1"/>
    <col min="5" max="5" width="12.57421875" style="1" customWidth="1"/>
    <col min="6" max="6" width="9.421875" style="1" customWidth="1"/>
    <col min="7" max="7" width="11.8515625" style="1" customWidth="1"/>
    <col min="8" max="8" width="7.421875" style="1" customWidth="1"/>
    <col min="9" max="9" width="10.57421875" style="1" customWidth="1"/>
    <col min="10" max="10" width="7.57421875" style="1" customWidth="1"/>
    <col min="11" max="11" width="10.140625" style="1" customWidth="1"/>
    <col min="12" max="12" width="7.57421875" style="1" customWidth="1"/>
    <col min="13" max="13" width="10.28125" style="1" customWidth="1"/>
    <col min="14" max="14" width="9.140625" style="1" customWidth="1"/>
    <col min="15" max="15" width="12.421875" style="1" customWidth="1"/>
    <col min="16" max="16" width="13.140625" style="1" customWidth="1"/>
    <col min="17" max="17" width="12.57421875" style="1" customWidth="1"/>
    <col min="18" max="18" width="15.00390625" style="1" bestFit="1" customWidth="1"/>
    <col min="19" max="16384" width="11.421875" style="1" customWidth="1"/>
  </cols>
  <sheetData>
    <row r="1" spans="1:15" ht="18">
      <c r="A1" s="146" t="s">
        <v>0</v>
      </c>
      <c r="B1" s="166" t="s">
        <v>116</v>
      </c>
      <c r="C1" s="178"/>
      <c r="D1" s="178"/>
      <c r="E1" s="178"/>
      <c r="F1" s="179"/>
      <c r="L1" s="175" t="s">
        <v>23</v>
      </c>
      <c r="M1" s="176"/>
      <c r="N1" s="150">
        <v>40756</v>
      </c>
      <c r="O1" s="23"/>
    </row>
    <row r="2" spans="2:4" ht="4.5" customHeight="1">
      <c r="B2" s="164"/>
      <c r="C2" s="181"/>
      <c r="D2" s="181"/>
    </row>
    <row r="3" ht="17.25" thickBot="1"/>
    <row r="4" spans="1:17" ht="17.25">
      <c r="A4" s="25"/>
      <c r="B4" s="173" t="s">
        <v>1</v>
      </c>
      <c r="C4" s="174"/>
      <c r="D4" s="173" t="s">
        <v>2</v>
      </c>
      <c r="E4" s="174"/>
      <c r="F4" s="173" t="s">
        <v>3</v>
      </c>
      <c r="G4" s="174"/>
      <c r="H4" s="173" t="s">
        <v>34</v>
      </c>
      <c r="I4" s="174"/>
      <c r="J4" s="173" t="s">
        <v>32</v>
      </c>
      <c r="K4" s="174"/>
      <c r="L4" s="173" t="s">
        <v>36</v>
      </c>
      <c r="M4" s="174"/>
      <c r="N4" s="173" t="s">
        <v>33</v>
      </c>
      <c r="O4" s="174"/>
      <c r="P4" s="26" t="s">
        <v>5</v>
      </c>
      <c r="Q4" s="26" t="s">
        <v>38</v>
      </c>
    </row>
    <row r="5" spans="1:17" ht="17.25">
      <c r="A5" s="27"/>
      <c r="B5" s="28" t="s">
        <v>31</v>
      </c>
      <c r="C5" s="28" t="s">
        <v>37</v>
      </c>
      <c r="D5" s="28" t="s">
        <v>31</v>
      </c>
      <c r="E5" s="28" t="s">
        <v>37</v>
      </c>
      <c r="F5" s="28" t="s">
        <v>31</v>
      </c>
      <c r="G5" s="28" t="s">
        <v>37</v>
      </c>
      <c r="H5" s="28" t="s">
        <v>31</v>
      </c>
      <c r="I5" s="28" t="s">
        <v>37</v>
      </c>
      <c r="J5" s="28" t="s">
        <v>31</v>
      </c>
      <c r="K5" s="28" t="s">
        <v>37</v>
      </c>
      <c r="L5" s="28" t="s">
        <v>31</v>
      </c>
      <c r="M5" s="28" t="s">
        <v>37</v>
      </c>
      <c r="N5" s="28" t="s">
        <v>31</v>
      </c>
      <c r="O5" s="28" t="s">
        <v>37</v>
      </c>
      <c r="P5" s="126" t="s">
        <v>25</v>
      </c>
      <c r="Q5" s="30" t="s">
        <v>39</v>
      </c>
    </row>
    <row r="6" spans="1:17" ht="17.25">
      <c r="A6" s="31" t="s">
        <v>14</v>
      </c>
      <c r="B6" s="32">
        <v>946485</v>
      </c>
      <c r="C6" s="33">
        <f>6620.39+460465.82+4201.18+42477.47+2257.73+85809.55</f>
        <v>601832.14</v>
      </c>
      <c r="D6" s="68">
        <f>27630+80000</f>
        <v>107630</v>
      </c>
      <c r="E6" s="33">
        <f>1780.48+61569.2</f>
        <v>63349.68</v>
      </c>
      <c r="F6" s="68">
        <f>167890+300000+500000</f>
        <v>967890</v>
      </c>
      <c r="G6" s="33">
        <f>6963.5+273903.25</f>
        <v>280866.75</v>
      </c>
      <c r="H6" s="68">
        <v>230000</v>
      </c>
      <c r="I6" s="33">
        <f>18166+84822.9</f>
        <v>102988.9</v>
      </c>
      <c r="J6" s="68">
        <f>31200+145000</f>
        <v>176200</v>
      </c>
      <c r="K6" s="33">
        <v>275.99</v>
      </c>
      <c r="L6" s="68">
        <v>0</v>
      </c>
      <c r="M6" s="33">
        <f>11958.75+29147.9</f>
        <v>41106.65</v>
      </c>
      <c r="N6" s="68">
        <f>176000+540000</f>
        <v>716000</v>
      </c>
      <c r="O6" s="33">
        <v>668742.55</v>
      </c>
      <c r="P6" s="34">
        <f aca="true" t="shared" si="0" ref="P6:P12">+O6+M6+K6+I6+G6+E6+C6</f>
        <v>1759162.6600000001</v>
      </c>
      <c r="Q6" s="34">
        <f aca="true" t="shared" si="1" ref="Q6:Q12">+B6+D6+F6+H6+J6+L6+N6-P6</f>
        <v>1385042.3399999999</v>
      </c>
    </row>
    <row r="7" spans="1:17" ht="17.25">
      <c r="A7" s="31" t="s">
        <v>117</v>
      </c>
      <c r="B7" s="32">
        <v>1334282</v>
      </c>
      <c r="C7" s="33">
        <f>18512.45+503877.64+2154.37+258405.18+16217.5+227534.01</f>
        <v>1026701.1500000001</v>
      </c>
      <c r="D7" s="68">
        <v>81672</v>
      </c>
      <c r="E7" s="33">
        <f>6388.46+95018.23</f>
        <v>101406.69</v>
      </c>
      <c r="F7" s="68">
        <v>279689</v>
      </c>
      <c r="G7" s="33">
        <f>25127.09+247806.11+30502.75</f>
        <v>303435.95</v>
      </c>
      <c r="H7" s="68">
        <v>0</v>
      </c>
      <c r="I7" s="33">
        <v>300</v>
      </c>
      <c r="J7" s="68">
        <v>0</v>
      </c>
      <c r="K7" s="33">
        <v>11340.64</v>
      </c>
      <c r="L7" s="68">
        <v>45000</v>
      </c>
      <c r="M7" s="33">
        <f>2133.6+39837.42</f>
        <v>41971.02</v>
      </c>
      <c r="N7" s="68">
        <v>0</v>
      </c>
      <c r="O7" s="33">
        <v>29548.17</v>
      </c>
      <c r="P7" s="34">
        <f>+O7+M7+K7+I7+G7+E7+C7</f>
        <v>1514703.62</v>
      </c>
      <c r="Q7" s="34">
        <f t="shared" si="1"/>
        <v>225939.3799999999</v>
      </c>
    </row>
    <row r="8" spans="1:18" ht="17.25">
      <c r="A8" s="31" t="s">
        <v>118</v>
      </c>
      <c r="B8" s="32">
        <v>4954501</v>
      </c>
      <c r="C8" s="33">
        <f>71005.86+3885577.99</f>
        <v>3956583.85</v>
      </c>
      <c r="D8" s="68">
        <v>862748</v>
      </c>
      <c r="E8" s="33">
        <f>55015.13+1312259.4</f>
        <v>1367274.5299999998</v>
      </c>
      <c r="F8" s="68">
        <v>1295278</v>
      </c>
      <c r="G8" s="33">
        <f>92308.11+941106.15</f>
        <v>1033414.26</v>
      </c>
      <c r="H8" s="68">
        <v>0</v>
      </c>
      <c r="I8" s="33">
        <v>400</v>
      </c>
      <c r="J8" s="68">
        <v>150000</v>
      </c>
      <c r="K8" s="33">
        <v>41684.95</v>
      </c>
      <c r="L8" s="68">
        <v>0</v>
      </c>
      <c r="M8" s="33">
        <v>565.3</v>
      </c>
      <c r="N8" s="68">
        <v>0</v>
      </c>
      <c r="O8" s="33">
        <v>149534.16</v>
      </c>
      <c r="P8" s="34">
        <f t="shared" si="0"/>
        <v>6549457.05</v>
      </c>
      <c r="Q8" s="34">
        <f t="shared" si="1"/>
        <v>713069.9500000002</v>
      </c>
      <c r="R8" s="158"/>
    </row>
    <row r="9" spans="1:17" ht="17.25">
      <c r="A9" s="31" t="s">
        <v>40</v>
      </c>
      <c r="B9" s="32">
        <v>2762032</v>
      </c>
      <c r="C9" s="33">
        <f>296077.16+1818376.4+9352.86+23927.86</f>
        <v>2147734.28</v>
      </c>
      <c r="D9" s="68">
        <v>717277</v>
      </c>
      <c r="E9" s="33">
        <f>23141.21+798897.98</f>
        <v>822039.19</v>
      </c>
      <c r="F9" s="68">
        <v>326109</v>
      </c>
      <c r="G9" s="33">
        <f>226.19+214047.08</f>
        <v>214273.27</v>
      </c>
      <c r="H9" s="68">
        <v>0</v>
      </c>
      <c r="I9" s="33">
        <v>2445.9</v>
      </c>
      <c r="J9" s="68">
        <v>0</v>
      </c>
      <c r="K9" s="33">
        <v>7939.72</v>
      </c>
      <c r="L9" s="68">
        <v>0</v>
      </c>
      <c r="M9" s="33">
        <f>52841.05+231961.62</f>
        <v>284802.67</v>
      </c>
      <c r="N9" s="68">
        <v>0</v>
      </c>
      <c r="O9" s="33">
        <v>101635.04</v>
      </c>
      <c r="P9" s="34">
        <f t="shared" si="0"/>
        <v>3580870.07</v>
      </c>
      <c r="Q9" s="34">
        <f t="shared" si="1"/>
        <v>224547.93000000017</v>
      </c>
    </row>
    <row r="10" spans="1:17" ht="17.25">
      <c r="A10" s="31" t="s">
        <v>119</v>
      </c>
      <c r="B10" s="32">
        <v>112772</v>
      </c>
      <c r="C10" s="33">
        <f>23430.33+56770.1</f>
        <v>80200.43</v>
      </c>
      <c r="D10" s="100">
        <v>598650</v>
      </c>
      <c r="E10" s="80">
        <f>5548.04+84257.81</f>
        <v>89805.84999999999</v>
      </c>
      <c r="F10" s="100">
        <v>0</v>
      </c>
      <c r="G10" s="80">
        <f>1791.5+12498</f>
        <v>14289.5</v>
      </c>
      <c r="H10" s="100">
        <v>0</v>
      </c>
      <c r="I10" s="80">
        <v>0</v>
      </c>
      <c r="J10" s="100">
        <v>13042</v>
      </c>
      <c r="K10" s="80">
        <v>1478</v>
      </c>
      <c r="L10" s="100">
        <v>200000</v>
      </c>
      <c r="M10" s="80">
        <f>2199.2+20676.47</f>
        <v>22875.670000000002</v>
      </c>
      <c r="N10" s="100">
        <v>0</v>
      </c>
      <c r="O10" s="80">
        <v>2862</v>
      </c>
      <c r="P10" s="34">
        <f t="shared" si="0"/>
        <v>211511.44999999998</v>
      </c>
      <c r="Q10" s="34">
        <f t="shared" si="1"/>
        <v>712952.55</v>
      </c>
    </row>
    <row r="11" spans="1:17" ht="17.25">
      <c r="A11" s="31" t="s">
        <v>120</v>
      </c>
      <c r="B11" s="32">
        <v>602963</v>
      </c>
      <c r="C11" s="33">
        <f>85655.88+432935.37</f>
        <v>518591.25</v>
      </c>
      <c r="D11" s="68">
        <v>314491</v>
      </c>
      <c r="E11" s="33">
        <f>17695.17+345618.14</f>
        <v>363313.31</v>
      </c>
      <c r="F11" s="68">
        <v>1500000</v>
      </c>
      <c r="G11" s="33">
        <f>106302+1354006</f>
        <v>1460308</v>
      </c>
      <c r="H11" s="100">
        <v>0</v>
      </c>
      <c r="I11" s="33">
        <v>0</v>
      </c>
      <c r="J11" s="100">
        <v>0</v>
      </c>
      <c r="K11" s="33">
        <v>0</v>
      </c>
      <c r="L11" s="100">
        <v>0</v>
      </c>
      <c r="M11" s="33">
        <v>0</v>
      </c>
      <c r="N11" s="100">
        <v>0</v>
      </c>
      <c r="O11" s="33">
        <v>19926.28</v>
      </c>
      <c r="P11" s="34">
        <f t="shared" si="0"/>
        <v>2362138.84</v>
      </c>
      <c r="Q11" s="34">
        <f t="shared" si="1"/>
        <v>55315.16000000015</v>
      </c>
    </row>
    <row r="12" spans="1:17" ht="17.25">
      <c r="A12" s="31" t="s">
        <v>78</v>
      </c>
      <c r="B12" s="32">
        <v>4409449</v>
      </c>
      <c r="C12" s="33">
        <f>677112.17+2211497.28+85124.9+234797.6+5531.43+18727.04+7144.79+26714.15</f>
        <v>3266649.36</v>
      </c>
      <c r="D12" s="68">
        <v>179571</v>
      </c>
      <c r="E12" s="33">
        <f>4878.8+286125.27</f>
        <v>291004.07</v>
      </c>
      <c r="F12" s="68">
        <v>381061</v>
      </c>
      <c r="G12" s="33">
        <f>5268.05+339544.62+11900</f>
        <v>356712.67</v>
      </c>
      <c r="H12" s="68">
        <v>2000</v>
      </c>
      <c r="I12" s="33">
        <v>0</v>
      </c>
      <c r="J12" s="68">
        <v>1250</v>
      </c>
      <c r="K12" s="33">
        <f>18855.3+90443.13</f>
        <v>109298.43000000001</v>
      </c>
      <c r="L12" s="68">
        <v>650000</v>
      </c>
      <c r="M12" s="33">
        <f>36748.42+552319.78</f>
        <v>589068.2000000001</v>
      </c>
      <c r="N12" s="68">
        <v>0</v>
      </c>
      <c r="O12" s="33">
        <v>104236.66</v>
      </c>
      <c r="P12" s="34">
        <f t="shared" si="0"/>
        <v>4716969.390000001</v>
      </c>
      <c r="Q12" s="34">
        <f t="shared" si="1"/>
        <v>906361.6099999994</v>
      </c>
    </row>
    <row r="13" spans="1:18" ht="18" thickBot="1">
      <c r="A13" s="38" t="s">
        <v>11</v>
      </c>
      <c r="B13" s="39">
        <f aca="true" t="shared" si="2" ref="B13:Q13">SUM(B6:B12)</f>
        <v>15122484</v>
      </c>
      <c r="C13" s="40">
        <f t="shared" si="2"/>
        <v>11598292.459999999</v>
      </c>
      <c r="D13" s="39">
        <f t="shared" si="2"/>
        <v>2862039</v>
      </c>
      <c r="E13" s="40">
        <f t="shared" si="2"/>
        <v>3098193.32</v>
      </c>
      <c r="F13" s="39">
        <f t="shared" si="2"/>
        <v>4750027</v>
      </c>
      <c r="G13" s="40">
        <f t="shared" si="2"/>
        <v>3663300.4</v>
      </c>
      <c r="H13" s="39">
        <f t="shared" si="2"/>
        <v>232000</v>
      </c>
      <c r="I13" s="40">
        <f t="shared" si="2"/>
        <v>106134.79999999999</v>
      </c>
      <c r="J13" s="39">
        <f t="shared" si="2"/>
        <v>340492</v>
      </c>
      <c r="K13" s="40">
        <f t="shared" si="2"/>
        <v>172017.73</v>
      </c>
      <c r="L13" s="39">
        <f t="shared" si="2"/>
        <v>895000</v>
      </c>
      <c r="M13" s="40">
        <f t="shared" si="2"/>
        <v>980389.51</v>
      </c>
      <c r="N13" s="39">
        <f t="shared" si="2"/>
        <v>716000</v>
      </c>
      <c r="O13" s="40">
        <f t="shared" si="2"/>
        <v>1076484.86</v>
      </c>
      <c r="P13" s="42">
        <f t="shared" si="2"/>
        <v>20694813.08</v>
      </c>
      <c r="Q13" s="42">
        <f t="shared" si="2"/>
        <v>4223228.92</v>
      </c>
      <c r="R13" s="5"/>
    </row>
    <row r="14" spans="1:17" ht="17.25" thickBot="1">
      <c r="A14" s="38" t="s">
        <v>30</v>
      </c>
      <c r="B14" s="88"/>
      <c r="C14" s="93">
        <f>+C13/B13</f>
        <v>0.7669568346046852</v>
      </c>
      <c r="D14" s="93"/>
      <c r="E14" s="93">
        <f>+E13/D13</f>
        <v>1.0825126142585757</v>
      </c>
      <c r="F14" s="93"/>
      <c r="G14" s="93">
        <f>+G13/F13</f>
        <v>0.7712167530837193</v>
      </c>
      <c r="H14" s="93"/>
      <c r="I14" s="93">
        <f>+I13/H13</f>
        <v>0.4574775862068965</v>
      </c>
      <c r="J14" s="93"/>
      <c r="K14" s="93">
        <f>+K13/J13</f>
        <v>0.5052034409031637</v>
      </c>
      <c r="L14" s="148"/>
      <c r="M14" s="147">
        <f>+M13/L13</f>
        <v>1.0954072737430167</v>
      </c>
      <c r="N14" s="45"/>
      <c r="O14" s="141">
        <f>+O13/N13</f>
        <v>1.5034704748603354</v>
      </c>
      <c r="P14" s="58"/>
      <c r="Q14" s="5"/>
    </row>
    <row r="15" spans="1:17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0"/>
      <c r="Q15" s="5"/>
    </row>
    <row r="16" ht="16.5">
      <c r="Q16" s="5"/>
    </row>
    <row r="33" ht="16.5">
      <c r="J33" s="61"/>
    </row>
    <row r="38" spans="1:6" ht="16.5">
      <c r="A38" s="53"/>
      <c r="B38" s="53"/>
      <c r="C38" s="53"/>
      <c r="D38" s="53"/>
      <c r="E38" s="53"/>
      <c r="F38" s="53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1:6" ht="16.5">
      <c r="A43" s="78"/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ht="16.5">
      <c r="C47" s="48"/>
    </row>
    <row r="49" spans="1:4" ht="16.5">
      <c r="A49" s="62" t="s">
        <v>26</v>
      </c>
      <c r="B49" s="71" t="s">
        <v>27</v>
      </c>
      <c r="C49" s="62" t="s">
        <v>28</v>
      </c>
      <c r="D49" s="62"/>
    </row>
    <row r="50" spans="1:3" ht="17.25">
      <c r="A50" s="64">
        <f>+B13</f>
        <v>15122484</v>
      </c>
      <c r="B50" s="65">
        <f>+C13</f>
        <v>11598292.459999999</v>
      </c>
      <c r="C50" s="62" t="s">
        <v>1</v>
      </c>
    </row>
    <row r="51" spans="1:3" ht="17.25">
      <c r="A51" s="64">
        <f>+D13</f>
        <v>2862039</v>
      </c>
      <c r="B51" s="65">
        <f>+E13</f>
        <v>3098193.32</v>
      </c>
      <c r="C51" s="62" t="s">
        <v>2</v>
      </c>
    </row>
    <row r="52" spans="1:3" ht="17.25">
      <c r="A52" s="64">
        <f>+F13</f>
        <v>4750027</v>
      </c>
      <c r="B52" s="65">
        <f>+G13</f>
        <v>3663300.4</v>
      </c>
      <c r="C52" s="62" t="s">
        <v>3</v>
      </c>
    </row>
    <row r="53" spans="1:3" ht="17.25">
      <c r="A53" s="66">
        <f>+H13</f>
        <v>232000</v>
      </c>
      <c r="B53" s="65">
        <f>+I13</f>
        <v>106134.79999999999</v>
      </c>
      <c r="C53" s="62" t="s">
        <v>34</v>
      </c>
    </row>
    <row r="54" spans="1:3" ht="17.25">
      <c r="A54" s="66">
        <f>+J13</f>
        <v>340492</v>
      </c>
      <c r="B54" s="65">
        <f>+K13</f>
        <v>172017.73</v>
      </c>
      <c r="C54" s="62" t="s">
        <v>32</v>
      </c>
    </row>
    <row r="55" spans="1:3" ht="17.25">
      <c r="A55" s="64">
        <f>+L13</f>
        <v>895000</v>
      </c>
      <c r="B55" s="65">
        <f>+M13</f>
        <v>980389.51</v>
      </c>
      <c r="C55" s="62" t="s">
        <v>29</v>
      </c>
    </row>
    <row r="56" spans="1:3" ht="17.25">
      <c r="A56" s="64">
        <f>+N13</f>
        <v>716000</v>
      </c>
      <c r="B56" s="65">
        <f>+O13</f>
        <v>1076484.86</v>
      </c>
      <c r="C56" s="62" t="s">
        <v>35</v>
      </c>
    </row>
    <row r="57" spans="1:2" ht="17.25">
      <c r="A57" s="64"/>
      <c r="B57" s="64"/>
    </row>
    <row r="58" spans="1:2" ht="17.25">
      <c r="A58" s="64">
        <v>4568329</v>
      </c>
      <c r="B58" s="65">
        <v>1360852.79</v>
      </c>
    </row>
  </sheetData>
  <mergeCells count="10">
    <mergeCell ref="B2:D2"/>
    <mergeCell ref="J4:K4"/>
    <mergeCell ref="L4:M4"/>
    <mergeCell ref="L1:M1"/>
    <mergeCell ref="B1:F1"/>
    <mergeCell ref="N4:O4"/>
    <mergeCell ref="B4:C4"/>
    <mergeCell ref="D4:E4"/>
    <mergeCell ref="F4:G4"/>
    <mergeCell ref="H4:I4"/>
  </mergeCells>
  <printOptions/>
  <pageMargins left="0.47" right="0.46" top="0.9" bottom="0.25" header="0.3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Cipolletti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Municipal</dc:creator>
  <cp:keywords/>
  <dc:description/>
  <cp:lastModifiedBy>Maggi</cp:lastModifiedBy>
  <cp:lastPrinted>2011-09-20T12:38:34Z</cp:lastPrinted>
  <dcterms:created xsi:type="dcterms:W3CDTF">2000-04-26T12:06:38Z</dcterms:created>
  <dcterms:modified xsi:type="dcterms:W3CDTF">2011-09-20T12:38:35Z</dcterms:modified>
  <cp:category/>
  <cp:version/>
  <cp:contentType/>
  <cp:contentStatus/>
</cp:coreProperties>
</file>