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842" firstSheet="1" activeTab="12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  <sheet name="GENERAL II" sheetId="13" r:id="rId13"/>
  </sheets>
  <definedNames/>
  <calcPr fullCalcOnLoad="1"/>
</workbook>
</file>

<file path=xl/sharedStrings.xml><?xml version="1.0" encoding="utf-8"?>
<sst xmlns="http://schemas.openxmlformats.org/spreadsheetml/2006/main" count="617" uniqueCount="142">
  <si>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</si>
  <si>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</si>
  <si>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</si>
  <si>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</si>
  <si>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</si>
  <si>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</si>
  <si>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</si>
  <si>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</si>
  <si>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</si>
  <si>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</si>
  <si>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</si>
  <si>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</si>
  <si>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Dir.Planeamiento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</si>
  <si>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</si>
  <si>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</si>
  <si>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</si>
  <si>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</si>
  <si>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</si>
  <si>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</si>
  <si>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</si>
  <si>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</si>
  <si>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</si>
  <si>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</si>
  <si>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</si>
  <si>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</si>
  <si>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</si>
  <si>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</si>
  <si>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</si>
  <si>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</si>
  <si>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</si>
  <si>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</si>
  <si>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</si>
  <si>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</si>
  <si>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</si>
  <si>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</si>
  <si>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</si>
  <si>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</si>
  <si>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</si>
  <si>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</si>
  <si>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</si>
  <si>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</si>
  <si>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</si>
  <si>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</si>
  <si>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</si>
  <si>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</si>
  <si>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</si>
  <si>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</si>
  <si>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</si>
  <si>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</si>
  <si>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</si>
  <si>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</si>
  <si>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</si>
  <si>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</si>
  <si>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</si>
  <si>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</si>
  <si>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</si>
  <si>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</si>
  <si>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</si>
  <si>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</si>
  <si>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</si>
  <si>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</si>
  <si>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</si>
  <si>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</si>
  <si>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</si>
  <si>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</si>
  <si>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</si>
  <si>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</si>
  <si>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</si>
  <si>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</si>
  <si>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</si>
  <si>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</si>
  <si>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</si>
  <si>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</si>
  <si>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</si>
  <si>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</si>
  <si>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</si>
  <si>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</si>
  <si>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</si>
  <si>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</si>
  <si>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</si>
  <si>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</si>
  <si>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</si>
  <si>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</si>
  <si>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</si>
  <si>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</si>
  <si>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</si>
  <si>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</si>
  <si>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</si>
  <si>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</si>
  <si>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</si>
  <si>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</si>
  <si>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</si>
  <si>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</si>
  <si>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</si>
  <si>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Area Artes Sonoras</t>
  </si>
  <si>
    <t>Centro Cultural</t>
  </si>
  <si>
    <t>Area Artes Visuales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</si>
  <si>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</si>
  <si>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</si>
  <si>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</si>
  <si>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</si>
  <si>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</si>
  <si>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</si>
  <si>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</si>
  <si>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</si>
  <si>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</si>
  <si>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</si>
  <si>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</si>
  <si>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</si>
  <si>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</si>
  <si>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</si>
  <si>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</si>
  <si>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</si>
  <si>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</si>
  <si>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</si>
  <si>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</si>
  <si>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Bloque Frente Grande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</si>
  <si>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</si>
  <si>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</si>
  <si>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</si>
  <si>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</si>
  <si>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</si>
  <si>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</si>
  <si>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</si>
  <si>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</si>
  <si>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Area Artes Dramáticas</t>
  </si>
  <si>
    <t>Artes del Movimiento</t>
  </si>
  <si>
    <t>Talleres Barriales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</si>
  <si>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</si>
  <si>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</si>
  <si>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</si>
  <si>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</si>
  <si>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</si>
  <si>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</si>
  <si>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</si>
  <si>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</si>
  <si>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</si>
  <si>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</si>
  <si>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</si>
  <si>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 xml:space="preserve">                TRANSF. CTES.</t>
  </si>
  <si>
    <t>COMPROMETIDO</t>
  </si>
  <si>
    <t xml:space="preserve">EJECUCION DEL GASTO + COMPROMETIDO (valores acumulados) 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</si>
</sst>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7">
    <font>
      <sz val="11"/>
      <name val="Garamond"/>
      <family val="0"/>
    </font>
    <font>
      <sz val="20.5"/>
      <name val="Garamond"/>
      <family val="0"/>
    </font>
    <font>
      <sz val="18.25"/>
      <name val="Garamond"/>
      <family val="0"/>
    </font>
    <font>
      <sz val="19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19.25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18.75"/>
      <name val="Garamond"/>
      <family val="0"/>
    </font>
    <font>
      <sz val="21"/>
      <name val="Garamond"/>
      <family val="0"/>
    </font>
    <font>
      <sz val="19.5"/>
      <name val="Garamond"/>
      <family val="0"/>
    </font>
    <font>
      <sz val="8"/>
      <name val="Garamond"/>
      <family val="0"/>
    </font>
    <font>
      <sz val="25"/>
      <name val="Garamond"/>
      <family val="0"/>
    </font>
    <font>
      <sz val="29.75"/>
      <name val="Garamond"/>
      <family val="0"/>
    </font>
    <font>
      <sz val="21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1.75"/>
      <name val="Trebuchet MS"/>
      <family val="2"/>
    </font>
    <font>
      <b/>
      <i/>
      <u val="single"/>
      <sz val="10.25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0.5"/>
      <name val="Trebuchet MS"/>
      <family val="2"/>
    </font>
    <font>
      <b/>
      <i/>
      <u val="single"/>
      <sz val="11.5"/>
      <name val="Trebuchet MS"/>
      <family val="2"/>
    </font>
    <font>
      <b/>
      <i/>
      <u val="single"/>
      <sz val="9.7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sz val="6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4.5"/>
      <name val="Trebuchet MS"/>
      <family val="2"/>
    </font>
    <font>
      <b/>
      <sz val="4.25"/>
      <name val="Trebuchet MS"/>
      <family val="2"/>
    </font>
    <font>
      <b/>
      <sz val="6.5"/>
      <name val="Trebuchet MS"/>
      <family val="2"/>
    </font>
    <font>
      <b/>
      <sz val="5.5"/>
      <name val="Trebuchet MS"/>
      <family val="2"/>
    </font>
    <font>
      <b/>
      <sz val="4"/>
      <name val="Trebuchet MS"/>
      <family val="2"/>
    </font>
    <font>
      <b/>
      <sz val="6"/>
      <name val="Trebuchet MS"/>
      <family val="2"/>
    </font>
    <font>
      <b/>
      <sz val="5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u val="single"/>
      <sz val="11"/>
      <name val="Garamond"/>
      <family val="1"/>
    </font>
    <font>
      <b/>
      <sz val="3.75"/>
      <name val="Trebuchet MS"/>
      <family val="2"/>
    </font>
    <font>
      <b/>
      <i/>
      <sz val="11"/>
      <color indexed="18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7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27" fillId="0" borderId="0" xfId="0" applyNumberFormat="1" applyFont="1" applyAlignment="1">
      <alignment/>
    </xf>
    <xf numFmtId="0" fontId="28" fillId="0" borderId="4" xfId="0" applyFont="1" applyBorder="1" applyAlignment="1">
      <alignment/>
    </xf>
    <xf numFmtId="0" fontId="28" fillId="0" borderId="5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7" xfId="0" applyFont="1" applyBorder="1" applyAlignment="1">
      <alignment/>
    </xf>
    <xf numFmtId="9" fontId="27" fillId="0" borderId="0" xfId="0" applyNumberFormat="1" applyFont="1" applyAlignment="1">
      <alignment/>
    </xf>
    <xf numFmtId="4" fontId="16" fillId="0" borderId="8" xfId="0" applyNumberFormat="1" applyFont="1" applyBorder="1" applyAlignment="1">
      <alignment/>
    </xf>
    <xf numFmtId="10" fontId="16" fillId="0" borderId="8" xfId="0" applyNumberFormat="1" applyFont="1" applyBorder="1" applyAlignment="1">
      <alignment/>
    </xf>
    <xf numFmtId="10" fontId="16" fillId="0" borderId="9" xfId="0" applyNumberFormat="1" applyFont="1" applyBorder="1" applyAlignment="1">
      <alignment/>
    </xf>
    <xf numFmtId="10" fontId="16" fillId="0" borderId="10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4" fontId="16" fillId="0" borderId="13" xfId="0" applyNumberFormat="1" applyFont="1" applyBorder="1" applyAlignment="1">
      <alignment/>
    </xf>
    <xf numFmtId="17" fontId="34" fillId="0" borderId="0" xfId="0" applyNumberFormat="1" applyFont="1" applyAlignment="1">
      <alignment/>
    </xf>
    <xf numFmtId="0" fontId="16" fillId="0" borderId="0" xfId="0" applyFont="1" applyAlignment="1">
      <alignment/>
    </xf>
    <xf numFmtId="0" fontId="33" fillId="0" borderId="0" xfId="0" applyFont="1" applyAlignment="1">
      <alignment/>
    </xf>
    <xf numFmtId="17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3" fontId="37" fillId="0" borderId="21" xfId="0" applyNumberFormat="1" applyFont="1" applyBorder="1" applyAlignment="1">
      <alignment/>
    </xf>
    <xf numFmtId="4" fontId="38" fillId="0" borderId="22" xfId="0" applyNumberFormat="1" applyFont="1" applyBorder="1" applyAlignment="1">
      <alignment/>
    </xf>
    <xf numFmtId="4" fontId="38" fillId="0" borderId="23" xfId="0" applyNumberFormat="1" applyFont="1" applyBorder="1" applyAlignment="1">
      <alignment/>
    </xf>
    <xf numFmtId="0" fontId="37" fillId="0" borderId="21" xfId="0" applyFont="1" applyBorder="1" applyAlignment="1">
      <alignment/>
    </xf>
    <xf numFmtId="4" fontId="27" fillId="0" borderId="22" xfId="0" applyNumberFormat="1" applyFont="1" applyBorder="1" applyAlignment="1">
      <alignment/>
    </xf>
    <xf numFmtId="4" fontId="38" fillId="0" borderId="21" xfId="0" applyNumberFormat="1" applyFont="1" applyBorder="1" applyAlignment="1">
      <alignment/>
    </xf>
    <xf numFmtId="0" fontId="26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4" fontId="38" fillId="0" borderId="26" xfId="0" applyNumberFormat="1" applyFont="1" applyBorder="1" applyAlignment="1">
      <alignment/>
    </xf>
    <xf numFmtId="4" fontId="38" fillId="0" borderId="25" xfId="0" applyNumberFormat="1" applyFont="1" applyBorder="1" applyAlignment="1">
      <alignment/>
    </xf>
    <xf numFmtId="4" fontId="38" fillId="0" borderId="27" xfId="0" applyNumberFormat="1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9" fontId="27" fillId="0" borderId="30" xfId="19" applyFont="1" applyBorder="1" applyAlignment="1">
      <alignment/>
    </xf>
    <xf numFmtId="9" fontId="27" fillId="0" borderId="30" xfId="19" applyNumberFormat="1" applyFont="1" applyBorder="1" applyAlignment="1">
      <alignment/>
    </xf>
    <xf numFmtId="9" fontId="27" fillId="0" borderId="31" xfId="19" applyFont="1" applyBorder="1" applyAlignment="1">
      <alignment/>
    </xf>
    <xf numFmtId="0" fontId="38" fillId="0" borderId="0" xfId="0" applyFont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9" fontId="27" fillId="0" borderId="0" xfId="19" applyFont="1" applyBorder="1" applyAlignment="1">
      <alignment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171" fontId="38" fillId="0" borderId="0" xfId="15" applyFont="1" applyAlignment="1">
      <alignment/>
    </xf>
    <xf numFmtId="17" fontId="36" fillId="0" borderId="0" xfId="0" applyNumberFormat="1" applyFont="1" applyAlignment="1">
      <alignment/>
    </xf>
    <xf numFmtId="3" fontId="38" fillId="0" borderId="21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4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26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3" fontId="37" fillId="0" borderId="2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4" fontId="26" fillId="0" borderId="0" xfId="0" applyNumberFormat="1" applyFont="1" applyAlignment="1">
      <alignment/>
    </xf>
    <xf numFmtId="0" fontId="43" fillId="0" borderId="0" xfId="0" applyFont="1" applyAlignment="1">
      <alignment/>
    </xf>
    <xf numFmtId="17" fontId="44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16" fillId="0" borderId="32" xfId="0" applyFont="1" applyBorder="1" applyAlignment="1">
      <alignment horizontal="center"/>
    </xf>
    <xf numFmtId="3" fontId="38" fillId="0" borderId="22" xfId="0" applyNumberFormat="1" applyFont="1" applyBorder="1" applyAlignment="1">
      <alignment/>
    </xf>
    <xf numFmtId="3" fontId="16" fillId="0" borderId="25" xfId="15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37" fillId="0" borderId="21" xfId="0" applyNumberFormat="1" applyFont="1" applyFill="1" applyBorder="1" applyAlignment="1">
      <alignment/>
    </xf>
    <xf numFmtId="4" fontId="38" fillId="0" borderId="22" xfId="0" applyNumberFormat="1" applyFont="1" applyFill="1" applyBorder="1" applyAlignment="1">
      <alignment/>
    </xf>
    <xf numFmtId="3" fontId="38" fillId="0" borderId="21" xfId="0" applyNumberFormat="1" applyFont="1" applyFill="1" applyBorder="1" applyAlignment="1">
      <alignment/>
    </xf>
    <xf numFmtId="4" fontId="38" fillId="0" borderId="21" xfId="0" applyNumberFormat="1" applyFont="1" applyFill="1" applyBorder="1" applyAlignment="1">
      <alignment/>
    </xf>
    <xf numFmtId="0" fontId="37" fillId="0" borderId="21" xfId="0" applyFont="1" applyFill="1" applyBorder="1" applyAlignment="1">
      <alignment/>
    </xf>
    <xf numFmtId="4" fontId="37" fillId="0" borderId="23" xfId="0" applyNumberFormat="1" applyFont="1" applyBorder="1" applyAlignment="1">
      <alignment/>
    </xf>
    <xf numFmtId="17" fontId="27" fillId="0" borderId="0" xfId="0" applyNumberFormat="1" applyFont="1" applyAlignment="1">
      <alignment/>
    </xf>
    <xf numFmtId="0" fontId="38" fillId="0" borderId="20" xfId="0" applyFont="1" applyBorder="1" applyAlignment="1">
      <alignment/>
    </xf>
    <xf numFmtId="4" fontId="38" fillId="0" borderId="33" xfId="0" applyNumberFormat="1" applyFont="1" applyBorder="1" applyAlignment="1">
      <alignment/>
    </xf>
    <xf numFmtId="0" fontId="26" fillId="0" borderId="25" xfId="0" applyFont="1" applyBorder="1" applyAlignment="1">
      <alignment/>
    </xf>
    <xf numFmtId="9" fontId="27" fillId="0" borderId="26" xfId="19" applyFont="1" applyBorder="1" applyAlignment="1">
      <alignment/>
    </xf>
    <xf numFmtId="9" fontId="27" fillId="0" borderId="34" xfId="19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0" fontId="27" fillId="0" borderId="26" xfId="19" applyNumberFormat="1" applyFont="1" applyBorder="1" applyAlignment="1">
      <alignment/>
    </xf>
    <xf numFmtId="4" fontId="38" fillId="0" borderId="32" xfId="0" applyNumberFormat="1" applyFont="1" applyBorder="1" applyAlignment="1">
      <alignment/>
    </xf>
    <xf numFmtId="0" fontId="45" fillId="0" borderId="0" xfId="0" applyFont="1" applyAlignment="1">
      <alignment/>
    </xf>
    <xf numFmtId="0" fontId="32" fillId="0" borderId="0" xfId="0" applyFont="1" applyFill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3" fontId="26" fillId="0" borderId="25" xfId="0" applyNumberFormat="1" applyFont="1" applyBorder="1" applyAlignment="1">
      <alignment/>
    </xf>
    <xf numFmtId="3" fontId="37" fillId="0" borderId="22" xfId="0" applyNumberFormat="1" applyFont="1" applyFill="1" applyBorder="1" applyAlignment="1">
      <alignment/>
    </xf>
    <xf numFmtId="4" fontId="38" fillId="0" borderId="35" xfId="0" applyNumberFormat="1" applyFont="1" applyBorder="1" applyAlignment="1">
      <alignment/>
    </xf>
    <xf numFmtId="10" fontId="38" fillId="0" borderId="35" xfId="0" applyNumberFormat="1" applyFont="1" applyBorder="1" applyAlignment="1">
      <alignment/>
    </xf>
    <xf numFmtId="4" fontId="38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7" fillId="0" borderId="41" xfId="0" applyFont="1" applyBorder="1" applyAlignment="1">
      <alignment/>
    </xf>
    <xf numFmtId="0" fontId="37" fillId="0" borderId="42" xfId="0" applyFont="1" applyBorder="1" applyAlignment="1">
      <alignment/>
    </xf>
    <xf numFmtId="4" fontId="38" fillId="0" borderId="43" xfId="0" applyNumberFormat="1" applyFont="1" applyBorder="1" applyAlignment="1">
      <alignment/>
    </xf>
    <xf numFmtId="4" fontId="38" fillId="0" borderId="44" xfId="0" applyNumberFormat="1" applyFont="1" applyBorder="1" applyAlignment="1">
      <alignment/>
    </xf>
    <xf numFmtId="0" fontId="26" fillId="0" borderId="45" xfId="0" applyFont="1" applyBorder="1" applyAlignment="1">
      <alignment/>
    </xf>
    <xf numFmtId="9" fontId="27" fillId="0" borderId="46" xfId="19" applyFont="1" applyBorder="1" applyAlignment="1">
      <alignment/>
    </xf>
    <xf numFmtId="9" fontId="27" fillId="0" borderId="47" xfId="19" applyFont="1" applyBorder="1" applyAlignment="1">
      <alignment/>
    </xf>
    <xf numFmtId="3" fontId="16" fillId="0" borderId="48" xfId="0" applyNumberFormat="1" applyFont="1" applyBorder="1" applyAlignment="1">
      <alignment/>
    </xf>
    <xf numFmtId="4" fontId="38" fillId="0" borderId="49" xfId="0" applyNumberFormat="1" applyFont="1" applyBorder="1" applyAlignment="1">
      <alignment/>
    </xf>
    <xf numFmtId="4" fontId="38" fillId="0" borderId="48" xfId="0" applyNumberFormat="1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17" fontId="46" fillId="0" borderId="0" xfId="0" applyNumberFormat="1" applyFont="1" applyFill="1" applyAlignment="1">
      <alignment horizontal="center"/>
    </xf>
    <xf numFmtId="17" fontId="47" fillId="0" borderId="0" xfId="0" applyNumberFormat="1" applyFont="1" applyAlignment="1">
      <alignment/>
    </xf>
    <xf numFmtId="0" fontId="16" fillId="0" borderId="54" xfId="0" applyFont="1" applyBorder="1" applyAlignment="1">
      <alignment horizontal="center"/>
    </xf>
    <xf numFmtId="17" fontId="46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8" fillId="2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4" fontId="38" fillId="0" borderId="55" xfId="0" applyNumberFormat="1" applyFont="1" applyBorder="1" applyAlignment="1">
      <alignment/>
    </xf>
    <xf numFmtId="4" fontId="38" fillId="0" borderId="56" xfId="0" applyNumberFormat="1" applyFont="1" applyBorder="1" applyAlignment="1">
      <alignment/>
    </xf>
    <xf numFmtId="4" fontId="38" fillId="0" borderId="57" xfId="0" applyNumberFormat="1" applyFont="1" applyBorder="1" applyAlignment="1">
      <alignment/>
    </xf>
    <xf numFmtId="10" fontId="27" fillId="0" borderId="30" xfId="19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10" fontId="27" fillId="0" borderId="58" xfId="19" applyNumberFormat="1" applyFont="1" applyBorder="1" applyAlignment="1">
      <alignment/>
    </xf>
    <xf numFmtId="9" fontId="27" fillId="0" borderId="59" xfId="19" applyFont="1" applyBorder="1" applyAlignment="1">
      <alignment/>
    </xf>
    <xf numFmtId="10" fontId="27" fillId="0" borderId="46" xfId="19" applyNumberFormat="1" applyFont="1" applyBorder="1" applyAlignment="1">
      <alignment/>
    </xf>
    <xf numFmtId="10" fontId="27" fillId="0" borderId="60" xfId="19" applyNumberFormat="1" applyFont="1" applyBorder="1" applyAlignment="1">
      <alignment/>
    </xf>
    <xf numFmtId="10" fontId="27" fillId="0" borderId="61" xfId="19" applyNumberFormat="1" applyFont="1" applyBorder="1" applyAlignment="1">
      <alignment/>
    </xf>
    <xf numFmtId="0" fontId="16" fillId="0" borderId="0" xfId="0" applyFont="1" applyAlignment="1">
      <alignment horizontal="right"/>
    </xf>
    <xf numFmtId="10" fontId="27" fillId="0" borderId="31" xfId="19" applyNumberFormat="1" applyFont="1" applyBorder="1" applyAlignment="1">
      <alignment/>
    </xf>
    <xf numFmtId="10" fontId="27" fillId="0" borderId="34" xfId="19" applyNumberFormat="1" applyFont="1" applyBorder="1" applyAlignment="1">
      <alignment/>
    </xf>
    <xf numFmtId="10" fontId="27" fillId="0" borderId="62" xfId="19" applyNumberFormat="1" applyFont="1" applyBorder="1" applyAlignment="1">
      <alignment/>
    </xf>
    <xf numFmtId="17" fontId="59" fillId="0" borderId="0" xfId="0" applyNumberFormat="1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4" fontId="38" fillId="0" borderId="63" xfId="0" applyNumberFormat="1" applyFont="1" applyBorder="1" applyAlignment="1">
      <alignment/>
    </xf>
    <xf numFmtId="0" fontId="16" fillId="10" borderId="64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63" fillId="11" borderId="67" xfId="0" applyFont="1" applyFill="1" applyBorder="1" applyAlignment="1">
      <alignment/>
    </xf>
    <xf numFmtId="2" fontId="27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48" fillId="0" borderId="0" xfId="0" applyFont="1" applyFill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6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0" fillId="0" borderId="0" xfId="0" applyFont="1" applyFill="1" applyAlignment="1">
      <alignment horizontal="center" wrapText="1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Fill="1" applyAlignment="1">
      <alignment horizontal="center" wrapText="1"/>
    </xf>
    <xf numFmtId="0" fontId="6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12" borderId="71" xfId="0" applyFont="1" applyFill="1" applyBorder="1" applyAlignment="1">
      <alignment horizontal="center"/>
    </xf>
    <xf numFmtId="0" fontId="16" fillId="12" borderId="72" xfId="0" applyFont="1" applyFill="1" applyBorder="1" applyAlignment="1">
      <alignment horizontal="center"/>
    </xf>
    <xf numFmtId="0" fontId="16" fillId="12" borderId="73" xfId="0" applyFont="1" applyFill="1" applyBorder="1" applyAlignment="1">
      <alignment horizontal="center"/>
    </xf>
    <xf numFmtId="17" fontId="6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9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8"/>
                </a:gs>
                <a:gs pos="50000">
                  <a:srgbClr val="666699"/>
                </a:gs>
                <a:gs pos="100000">
                  <a:srgbClr val="30304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1A1A1"/>
                </a:gs>
                <a:gs pos="50000">
                  <a:srgbClr val="CCFFFF"/>
                </a:gs>
                <a:gs pos="100000">
                  <a:srgbClr val="81A1A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  <c:max val="19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6347206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25"/>
          <c:y val="0.9365"/>
          <c:w val="0.4947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"/>
          <c:w val="0.981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CULTURA!$A$52:$A$58</c:f>
              <c:numCache/>
            </c:numRef>
          </c:val>
        </c:ser>
        <c:ser>
          <c:idx val="1"/>
          <c:order val="1"/>
          <c:tx>
            <c:strRef>
              <c:f>CULTURA!$B$51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CULTURA!$B$52:$B$58</c:f>
              <c:numCache/>
            </c:numRef>
          </c:val>
        </c:ser>
        <c:axId val="37660314"/>
        <c:axId val="3398507"/>
      </c:bar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  <c:max val="1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37660314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93175"/>
          <c:w val="0.52275"/>
          <c:h val="0.055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  <c:max val="1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0586564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525"/>
          <c:w val="0.5105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61592590"/>
        <c:axId val="17462399"/>
      </c:bar3D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15925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I'!$E$61:$E$71</c:f>
              <c:numCache>
                <c:ptCount val="11"/>
                <c:pt idx="0">
                  <c:v>0.1261179852971447</c:v>
                </c:pt>
                <c:pt idx="1">
                  <c:v>0.2107064459719589</c:v>
                </c:pt>
                <c:pt idx="2">
                  <c:v>0.25529672894371574</c:v>
                </c:pt>
                <c:pt idx="3">
                  <c:v>0.2271199612745668</c:v>
                </c:pt>
                <c:pt idx="4">
                  <c:v>0.0692663190170752</c:v>
                </c:pt>
                <c:pt idx="5">
                  <c:v>0.30245279412609305</c:v>
                </c:pt>
                <c:pt idx="6">
                  <c:v>0.23161852331808458</c:v>
                </c:pt>
                <c:pt idx="7">
                  <c:v>0.2658974276229877</c:v>
                </c:pt>
                <c:pt idx="8">
                  <c:v>0.27400912240475706</c:v>
                </c:pt>
                <c:pt idx="9">
                  <c:v>0.2057030874587165</c:v>
                </c:pt>
                <c:pt idx="10">
                  <c:v>0.12569386346695882</c:v>
                </c:pt>
              </c:numCache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I'!$F$61:$F$71</c:f>
              <c:numCache>
                <c:ptCount val="11"/>
                <c:pt idx="0">
                  <c:v>0.0020433991658143358</c:v>
                </c:pt>
                <c:pt idx="1">
                  <c:v>0.005204612496526068</c:v>
                </c:pt>
                <c:pt idx="2">
                  <c:v>0.060713138225573296</c:v>
                </c:pt>
                <c:pt idx="3">
                  <c:v>0.002370951628040521</c:v>
                </c:pt>
                <c:pt idx="4">
                  <c:v>0.008514942122706964</c:v>
                </c:pt>
                <c:pt idx="5">
                  <c:v>0.006877660454523027</c:v>
                </c:pt>
                <c:pt idx="6">
                  <c:v>0.008907917375759184</c:v>
                </c:pt>
                <c:pt idx="7">
                  <c:v>0</c:v>
                </c:pt>
                <c:pt idx="8">
                  <c:v>0.07130873331240116</c:v>
                </c:pt>
                <c:pt idx="9">
                  <c:v>0.0070977417706328495</c:v>
                </c:pt>
                <c:pt idx="10">
                  <c:v>0.003042650758769084</c:v>
                </c:pt>
              </c:numCache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I'!$G$61:$G$71</c:f>
              <c:numCache>
                <c:ptCount val="11"/>
                <c:pt idx="0">
                  <c:v>0.09258565019261528</c:v>
                </c:pt>
                <c:pt idx="1">
                  <c:v>0.0971565463312717</c:v>
                </c:pt>
                <c:pt idx="2">
                  <c:v>0.12196570943505065</c:v>
                </c:pt>
                <c:pt idx="3">
                  <c:v>0.07825988424689352</c:v>
                </c:pt>
                <c:pt idx="4">
                  <c:v>0.02832780208322285</c:v>
                </c:pt>
                <c:pt idx="5">
                  <c:v>0.09632781360113771</c:v>
                </c:pt>
                <c:pt idx="6">
                  <c:v>0.03315506565285953</c:v>
                </c:pt>
                <c:pt idx="7">
                  <c:v>0.04824283652056804</c:v>
                </c:pt>
                <c:pt idx="8">
                  <c:v>0.09562330824178854</c:v>
                </c:pt>
                <c:pt idx="9">
                  <c:v>0.1804565878159347</c:v>
                </c:pt>
                <c:pt idx="10">
                  <c:v>0.11361584865889503</c:v>
                </c:pt>
              </c:numCache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I'!$H$61:$H$71</c:f>
              <c:numCache>
                <c:ptCount val="11"/>
                <c:pt idx="0">
                  <c:v>0.16683663720779607</c:v>
                </c:pt>
                <c:pt idx="1">
                  <c:v>0.05692905613636464</c:v>
                </c:pt>
                <c:pt idx="2">
                  <c:v>0.00010284262211841753</c:v>
                </c:pt>
                <c:pt idx="3">
                  <c:v>0.15823107064950065</c:v>
                </c:pt>
                <c:pt idx="4">
                  <c:v>0.0004902541749540113</c:v>
                </c:pt>
                <c:pt idx="5">
                  <c:v>0</c:v>
                </c:pt>
                <c:pt idx="6">
                  <c:v>0.05521705569173601</c:v>
                </c:pt>
                <c:pt idx="7">
                  <c:v>0</c:v>
                </c:pt>
                <c:pt idx="8">
                  <c:v>0.004379718580832026</c:v>
                </c:pt>
                <c:pt idx="9">
                  <c:v>0.05099820882392574</c:v>
                </c:pt>
                <c:pt idx="10">
                  <c:v>0.19017334991490287</c:v>
                </c:pt>
              </c:numCache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I'!$I$61:$I$71</c:f>
              <c:numCache>
                <c:ptCount val="11"/>
                <c:pt idx="0">
                  <c:v>0.0015609430772215997</c:v>
                </c:pt>
                <c:pt idx="1">
                  <c:v>0.013282252091826983</c:v>
                </c:pt>
                <c:pt idx="2">
                  <c:v>0.01905081855565528</c:v>
                </c:pt>
                <c:pt idx="3">
                  <c:v>0.0017546110968419046</c:v>
                </c:pt>
                <c:pt idx="4">
                  <c:v>0.0013332695401866849</c:v>
                </c:pt>
                <c:pt idx="5">
                  <c:v>0.002300723794605634</c:v>
                </c:pt>
                <c:pt idx="6">
                  <c:v>0.0020056082062171153</c:v>
                </c:pt>
                <c:pt idx="7">
                  <c:v>0</c:v>
                </c:pt>
                <c:pt idx="8">
                  <c:v>0.005491873742991788</c:v>
                </c:pt>
                <c:pt idx="9">
                  <c:v>0.00023422582802167208</c:v>
                </c:pt>
                <c:pt idx="10">
                  <c:v>0.0006356002730652053</c:v>
                </c:pt>
              </c:numCache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I'!$J$61:$J$71</c:f>
              <c:numCache>
                <c:ptCount val="11"/>
                <c:pt idx="0">
                  <c:v>0.002386911973873579</c:v>
                </c:pt>
                <c:pt idx="1">
                  <c:v>0.015990815530008813</c:v>
                </c:pt>
                <c:pt idx="2">
                  <c:v>0.00026734677664026323</c:v>
                </c:pt>
                <c:pt idx="3">
                  <c:v>0.0007193581265953163</c:v>
                </c:pt>
                <c:pt idx="4">
                  <c:v>0.5139502058366578</c:v>
                </c:pt>
                <c:pt idx="5">
                  <c:v>0.0007247572681800417</c:v>
                </c:pt>
                <c:pt idx="6">
                  <c:v>0</c:v>
                </c:pt>
                <c:pt idx="7">
                  <c:v>0</c:v>
                </c:pt>
                <c:pt idx="8">
                  <c:v>0.017547361696346575</c:v>
                </c:pt>
                <c:pt idx="9">
                  <c:v>0.007061022025490888</c:v>
                </c:pt>
                <c:pt idx="10">
                  <c:v>0.002684133161611313</c:v>
                </c:pt>
              </c:numCache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I'!$K$61:$K$71</c:f>
              <c:numCache>
                <c:ptCount val="11"/>
                <c:pt idx="0">
                  <c:v>0.016811664910305908</c:v>
                </c:pt>
                <c:pt idx="1">
                  <c:v>0.02191533587745772</c:v>
                </c:pt>
                <c:pt idx="2">
                  <c:v>0.03651792031539019</c:v>
                </c:pt>
                <c:pt idx="3">
                  <c:v>0.0215704309050833</c:v>
                </c:pt>
                <c:pt idx="4">
                  <c:v>0.014787203586681282</c:v>
                </c:pt>
                <c:pt idx="5">
                  <c:v>0.0443626356813324</c:v>
                </c:pt>
                <c:pt idx="6">
                  <c:v>0.03403946978094897</c:v>
                </c:pt>
                <c:pt idx="7">
                  <c:v>0.041700690370313</c:v>
                </c:pt>
                <c:pt idx="8">
                  <c:v>0.045054324183584495</c:v>
                </c:pt>
                <c:pt idx="9">
                  <c:v>0.039410033764113936</c:v>
                </c:pt>
                <c:pt idx="10">
                  <c:v>0.035987671715624475</c:v>
                </c:pt>
              </c:numCache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I'!$L$61:$L$71</c:f>
              <c:numCache>
                <c:ptCount val="11"/>
                <c:pt idx="0">
                  <c:v>0.5916568081752285</c:v>
                </c:pt>
                <c:pt idx="1">
                  <c:v>0.5788149355645853</c:v>
                </c:pt>
                <c:pt idx="2">
                  <c:v>0.5060854951258562</c:v>
                </c:pt>
                <c:pt idx="3">
                  <c:v>0.509973732072478</c:v>
                </c:pt>
                <c:pt idx="4">
                  <c:v>0.36333000363851514</c:v>
                </c:pt>
                <c:pt idx="5">
                  <c:v>0.5469536150741282</c:v>
                </c:pt>
                <c:pt idx="6">
                  <c:v>0.6350563599743946</c:v>
                </c:pt>
                <c:pt idx="7">
                  <c:v>0.6441590454861312</c:v>
                </c:pt>
                <c:pt idx="8">
                  <c:v>0.4865855578372984</c:v>
                </c:pt>
                <c:pt idx="9">
                  <c:v>0.5090390925131637</c:v>
                </c:pt>
                <c:pt idx="10">
                  <c:v>0.5281668820501733</c:v>
                </c:pt>
              </c:numCache>
            </c:numRef>
          </c:val>
          <c:shape val="cylinder"/>
        </c:ser>
        <c:overlap val="100"/>
        <c:shape val="cylinder"/>
        <c:axId val="22943864"/>
        <c:axId val="5168185"/>
      </c:bar3D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9438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37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GOB!$A$52:$A$58</c:f>
              <c:numCache/>
            </c:numRef>
          </c:val>
        </c:ser>
        <c:ser>
          <c:idx val="1"/>
          <c:order val="1"/>
          <c:tx>
            <c:strRef>
              <c:f>GOB!$B$51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GOB!$B$52:$B$58</c:f>
              <c:numCache/>
            </c:numRef>
          </c:val>
        </c:ser>
        <c:axId val="40963530"/>
        <c:axId val="33127451"/>
      </c:bar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1" i="0" u="none" baseline="0"/>
            </a:pPr>
          </a:p>
        </c:txPr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  <c:max val="5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409635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5"/>
          <c:y val="0.932"/>
          <c:w val="0.517"/>
          <c:h val="0.058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  <c:max val="4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29711604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5"/>
          <c:y val="0.93825"/>
          <c:w val="0.48025"/>
          <c:h val="0.06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57829694"/>
        <c:axId val="50705199"/>
      </c:bar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  <c:max val="8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57829694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94025"/>
          <c:w val="0.518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4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53693608"/>
        <c:axId val="13480425"/>
      </c:bar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  <c:max val="16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53693608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25"/>
          <c:y val="0.9385"/>
          <c:w val="0.53175"/>
          <c:h val="0.052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6"/>
                  </a:gs>
                  <a:gs pos="5000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54214962"/>
        <c:axId val="18172611"/>
      </c:bar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  <c:max val="94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54214962"/>
        <c:crossesAt val="1"/>
        <c:crossBetween val="between"/>
        <c:dispUnits/>
        <c:majorUnit val="7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3425"/>
          <c:w val="0.46025"/>
          <c:h val="0.053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29335772"/>
        <c:axId val="62695357"/>
      </c:bar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  <c:max val="11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29335772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"/>
          <c:y val="0.93"/>
          <c:w val="0.5235"/>
          <c:h val="0.060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27387302"/>
        <c:axId val="45159127"/>
      </c:bar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  <c:max val="3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27387302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22"/>
          <c:w val="0.61525"/>
          <c:h val="0.0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3778960"/>
        <c:axId val="34010641"/>
      </c:bar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  <c:max val="153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778960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425"/>
          <c:w val="0.5182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076450" y="3276600"/>
        <a:ext cx="6477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57150</xdr:rowOff>
    </xdr:from>
    <xdr:to>
      <xdr:col>13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466975" y="3771900"/>
        <a:ext cx="6353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028825" y="2714625"/>
        <a:ext cx="6505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7934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</xdr:row>
      <xdr:rowOff>9525</xdr:rowOff>
    </xdr:from>
    <xdr:to>
      <xdr:col>10</xdr:col>
      <xdr:colOff>276225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76300" y="3876675"/>
        <a:ext cx="8105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19</xdr:row>
      <xdr:rowOff>104775</xdr:rowOff>
    </xdr:from>
    <xdr:to>
      <xdr:col>12</xdr:col>
      <xdr:colOff>114300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809750" y="4029075"/>
        <a:ext cx="6496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43125" y="3657600"/>
        <a:ext cx="6572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161925</xdr:rowOff>
    </xdr:from>
    <xdr:to>
      <xdr:col>12</xdr:col>
      <xdr:colOff>371475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90750" y="3219450"/>
        <a:ext cx="6410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00250" y="3352800"/>
        <a:ext cx="6515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257425" y="3190875"/>
        <a:ext cx="6210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019300" y="3133725"/>
        <a:ext cx="6143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133475" y="3200400"/>
        <a:ext cx="5705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857375" y="3143250"/>
        <a:ext cx="68675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I7">
      <selection activeCell="R11" sqref="R11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0.7109375" style="1" customWidth="1"/>
    <col min="4" max="4" width="7.57421875" style="1" customWidth="1"/>
    <col min="5" max="5" width="10.140625" style="1" customWidth="1"/>
    <col min="6" max="6" width="9.57421875" style="1" customWidth="1"/>
    <col min="7" max="7" width="10.7109375" style="1" customWidth="1"/>
    <col min="8" max="8" width="9.421875" style="1" customWidth="1"/>
    <col min="9" max="9" width="10.140625" style="1" customWidth="1"/>
    <col min="10" max="10" width="9.28125" style="1" customWidth="1"/>
    <col min="11" max="11" width="9.421875" style="1" customWidth="1"/>
    <col min="12" max="12" width="7.140625" style="1" customWidth="1"/>
    <col min="13" max="13" width="10.00390625" style="1" customWidth="1"/>
    <col min="14" max="14" width="9.421875" style="1" customWidth="1"/>
    <col min="15" max="15" width="10.28125" style="1" customWidth="1"/>
    <col min="16" max="16" width="12.421875" style="1" customWidth="1"/>
    <col min="17" max="17" width="12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107</v>
      </c>
      <c r="C2" s="165"/>
      <c r="D2" s="166"/>
      <c r="E2" s="166"/>
      <c r="L2" s="164" t="s">
        <v>24</v>
      </c>
      <c r="M2" s="164"/>
      <c r="N2" s="150">
        <v>40664</v>
      </c>
      <c r="O2" s="23"/>
    </row>
    <row r="3" spans="2:5" ht="16.5">
      <c r="B3" s="167"/>
      <c r="C3" s="167"/>
      <c r="E3" s="22"/>
    </row>
    <row r="4" spans="3:5" ht="17.25" thickBot="1">
      <c r="C4" s="24"/>
      <c r="D4" s="24"/>
      <c r="E4" s="22"/>
    </row>
    <row r="5" spans="1:17" ht="18" thickTop="1">
      <c r="A5" s="104"/>
      <c r="B5" s="168" t="s">
        <v>1</v>
      </c>
      <c r="C5" s="169"/>
      <c r="D5" s="168" t="s">
        <v>2</v>
      </c>
      <c r="E5" s="169"/>
      <c r="F5" s="168" t="s">
        <v>3</v>
      </c>
      <c r="G5" s="169"/>
      <c r="H5" s="168" t="s">
        <v>4</v>
      </c>
      <c r="I5" s="169"/>
      <c r="J5" s="168" t="s">
        <v>33</v>
      </c>
      <c r="K5" s="169"/>
      <c r="L5" s="105" t="s">
        <v>88</v>
      </c>
      <c r="M5" s="106"/>
      <c r="N5" s="168" t="s">
        <v>34</v>
      </c>
      <c r="O5" s="169"/>
      <c r="P5" s="107" t="s">
        <v>5</v>
      </c>
      <c r="Q5" s="118" t="s">
        <v>39</v>
      </c>
    </row>
    <row r="6" spans="1:17" ht="17.25">
      <c r="A6" s="108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4" t="s">
        <v>26</v>
      </c>
      <c r="Q6" s="119" t="s">
        <v>40</v>
      </c>
    </row>
    <row r="7" spans="1:18" ht="17.25">
      <c r="A7" s="109" t="s">
        <v>15</v>
      </c>
      <c r="B7" s="32">
        <v>555511</v>
      </c>
      <c r="C7" s="33">
        <f>1673.7+232284.17+3+22943.16+53.4+39210.87</f>
        <v>296168.30000000005</v>
      </c>
      <c r="D7" s="32">
        <v>14110</v>
      </c>
      <c r="E7" s="33">
        <v>6109.5</v>
      </c>
      <c r="F7" s="32">
        <v>575832</v>
      </c>
      <c r="G7" s="33">
        <f>130427.37+248401.17</f>
        <v>378828.54000000004</v>
      </c>
      <c r="H7" s="32">
        <v>1044014</v>
      </c>
      <c r="I7" s="33">
        <f>120195.21+491146.76</f>
        <v>611341.97</v>
      </c>
      <c r="J7" s="32">
        <f>1323500+70000</f>
        <v>1393500</v>
      </c>
      <c r="K7" s="33">
        <f>701.07+2763.35</f>
        <v>3464.42</v>
      </c>
      <c r="L7" s="32">
        <v>0</v>
      </c>
      <c r="M7" s="33">
        <v>0</v>
      </c>
      <c r="N7" s="32">
        <v>100000</v>
      </c>
      <c r="O7" s="33">
        <v>48448.87</v>
      </c>
      <c r="P7" s="110">
        <f>+O7+K7+I7+G7+E7+C7+M7</f>
        <v>1344361.6</v>
      </c>
      <c r="Q7" s="136">
        <f>+B7+D7+F7+H7+J7+N7+L7-P7</f>
        <v>2338605.4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37"/>
    </row>
    <row r="9" spans="1:18" ht="17.25">
      <c r="A9" s="109" t="s">
        <v>103</v>
      </c>
      <c r="B9" s="32">
        <v>182173</v>
      </c>
      <c r="C9" s="33">
        <f>2314.57+64702.63</f>
        <v>67017.2</v>
      </c>
      <c r="D9" s="32">
        <v>8477</v>
      </c>
      <c r="E9" s="33">
        <f>900+797.67</f>
        <v>1697.67</v>
      </c>
      <c r="F9" s="32">
        <v>66653</v>
      </c>
      <c r="G9" s="33">
        <v>6675.47</v>
      </c>
      <c r="H9" s="32">
        <v>190000</v>
      </c>
      <c r="I9" s="33">
        <f>84566.22+190344.07</f>
        <v>274910.29000000004</v>
      </c>
      <c r="J9" s="32">
        <v>9625</v>
      </c>
      <c r="K9" s="33">
        <v>1179.49</v>
      </c>
      <c r="L9" s="32">
        <v>0</v>
      </c>
      <c r="M9" s="33">
        <v>0</v>
      </c>
      <c r="N9" s="35">
        <v>0</v>
      </c>
      <c r="O9" s="33">
        <v>10901.49</v>
      </c>
      <c r="P9" s="110">
        <f>+O9+K9+I9+G9+E9+C9</f>
        <v>362381.61</v>
      </c>
      <c r="Q9" s="137">
        <f>+B9+D9+F9+H9+J9+N9-P9</f>
        <v>94546.39000000001</v>
      </c>
      <c r="R9" s="5"/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37"/>
    </row>
    <row r="11" spans="1:18" ht="17.25">
      <c r="A11" s="109" t="s">
        <v>102</v>
      </c>
      <c r="B11" s="32">
        <v>1123942</v>
      </c>
      <c r="C11" s="33">
        <f>2932.66+381985.1</f>
        <v>384917.75999999995</v>
      </c>
      <c r="D11" s="32">
        <v>30062</v>
      </c>
      <c r="E11" s="33">
        <v>4313.81</v>
      </c>
      <c r="F11" s="32">
        <v>370846</v>
      </c>
      <c r="G11" s="33">
        <f>34499.13+129193.92</f>
        <v>163693.05</v>
      </c>
      <c r="H11" s="32">
        <v>220936</v>
      </c>
      <c r="I11" s="33">
        <f>7202.01+96182.79</f>
        <v>103384.79999999999</v>
      </c>
      <c r="J11" s="32">
        <v>33192</v>
      </c>
      <c r="K11" s="33">
        <f>2080.2+2535.05</f>
        <v>4615.25</v>
      </c>
      <c r="L11" s="32">
        <v>12900</v>
      </c>
      <c r="M11" s="37">
        <f>-3+14161.62</f>
        <v>14158.62</v>
      </c>
      <c r="N11" s="32">
        <v>0</v>
      </c>
      <c r="O11" s="33">
        <v>40372.62</v>
      </c>
      <c r="P11" s="110">
        <f>+O11+K11+I11+G11+E11+C11+M11</f>
        <v>715455.9099999999</v>
      </c>
      <c r="Q11" s="137">
        <f>+B11+D11+F11+H11+J11+N11-P11+L11</f>
        <v>1076422.09</v>
      </c>
      <c r="R11" s="5"/>
    </row>
    <row r="12" spans="1:17" ht="18" thickBot="1">
      <c r="A12" s="120" t="s">
        <v>11</v>
      </c>
      <c r="B12" s="115">
        <f aca="true" t="shared" si="0" ref="B12:I12">SUM(B7:B11)</f>
        <v>1861626</v>
      </c>
      <c r="C12" s="116">
        <f>SUM(C7:C11)</f>
        <v>748103.26</v>
      </c>
      <c r="D12" s="115">
        <f t="shared" si="0"/>
        <v>52649</v>
      </c>
      <c r="E12" s="116">
        <f t="shared" si="0"/>
        <v>12120.98</v>
      </c>
      <c r="F12" s="115">
        <f t="shared" si="0"/>
        <v>1013331</v>
      </c>
      <c r="G12" s="116">
        <f t="shared" si="0"/>
        <v>549197.06</v>
      </c>
      <c r="H12" s="115">
        <f t="shared" si="0"/>
        <v>1454950</v>
      </c>
      <c r="I12" s="116">
        <f t="shared" si="0"/>
        <v>989637.06</v>
      </c>
      <c r="J12" s="115">
        <f>SUM(J7:J11)</f>
        <v>1436317</v>
      </c>
      <c r="K12" s="116">
        <f>SUM(K7:K11)</f>
        <v>9259.16</v>
      </c>
      <c r="L12" s="115">
        <f aca="true" t="shared" si="1" ref="L12:Q12">SUM(L7:L11)</f>
        <v>12900</v>
      </c>
      <c r="M12" s="117">
        <f t="shared" si="1"/>
        <v>14158.62</v>
      </c>
      <c r="N12" s="115">
        <f t="shared" si="1"/>
        <v>100000</v>
      </c>
      <c r="O12" s="116">
        <f t="shared" si="1"/>
        <v>99722.98000000001</v>
      </c>
      <c r="P12" s="111">
        <f t="shared" si="1"/>
        <v>2422199.12</v>
      </c>
      <c r="Q12" s="138">
        <f t="shared" si="1"/>
        <v>3509573.88</v>
      </c>
    </row>
    <row r="13" spans="1:17" ht="18.75" thickBot="1" thickTop="1">
      <c r="A13" s="121" t="s">
        <v>31</v>
      </c>
      <c r="B13" s="112"/>
      <c r="C13" s="143">
        <f>+C12/B12</f>
        <v>0.401854754929293</v>
      </c>
      <c r="D13" s="113"/>
      <c r="E13" s="143">
        <f>+E12/D12</f>
        <v>0.23022241638017815</v>
      </c>
      <c r="F13" s="113"/>
      <c r="G13" s="143">
        <f>+G12/F12</f>
        <v>0.54197203085665</v>
      </c>
      <c r="H13" s="113"/>
      <c r="I13" s="143">
        <f>+I12/H12</f>
        <v>0.6801863019347745</v>
      </c>
      <c r="J13" s="113"/>
      <c r="K13" s="144">
        <f>+K12/J12</f>
        <v>0.006446459938857508</v>
      </c>
      <c r="L13" s="142"/>
      <c r="M13" s="144">
        <f>+M12/L12</f>
        <v>1.0975674418604653</v>
      </c>
      <c r="N13" s="114"/>
      <c r="O13" s="145">
        <f>+O12/N12</f>
        <v>0.9972298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86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27</v>
      </c>
      <c r="B46" s="54" t="s">
        <v>28</v>
      </c>
      <c r="C46" s="21" t="s">
        <v>29</v>
      </c>
    </row>
    <row r="47" spans="1:3" ht="17.25">
      <c r="A47" s="55">
        <f>+B12</f>
        <v>1861626</v>
      </c>
      <c r="B47" s="52">
        <f>+C12</f>
        <v>748103.26</v>
      </c>
      <c r="C47" s="21" t="s">
        <v>1</v>
      </c>
    </row>
    <row r="48" spans="1:3" ht="17.25">
      <c r="A48" s="55">
        <f>+D12</f>
        <v>52649</v>
      </c>
      <c r="B48" s="52">
        <f>+E12</f>
        <v>12120.98</v>
      </c>
      <c r="C48" s="21" t="s">
        <v>2</v>
      </c>
    </row>
    <row r="49" spans="1:3" ht="17.25">
      <c r="A49" s="55">
        <f>+F12</f>
        <v>1013331</v>
      </c>
      <c r="B49" s="52">
        <f>+G12</f>
        <v>549197.06</v>
      </c>
      <c r="C49" s="21" t="s">
        <v>3</v>
      </c>
    </row>
    <row r="50" spans="1:3" ht="17.25">
      <c r="A50" s="55">
        <f>+H12</f>
        <v>1454950</v>
      </c>
      <c r="B50" s="52">
        <f>+I12</f>
        <v>989637.06</v>
      </c>
      <c r="C50" s="21" t="s">
        <v>35</v>
      </c>
    </row>
    <row r="51" spans="1:3" ht="17.25">
      <c r="A51" s="55">
        <f>+J12</f>
        <v>1436317</v>
      </c>
      <c r="B51" s="52">
        <f>+K12</f>
        <v>9259.16</v>
      </c>
      <c r="C51" s="21" t="s">
        <v>33</v>
      </c>
    </row>
    <row r="52" spans="1:3" ht="17.25">
      <c r="A52" s="55">
        <f>+L12</f>
        <v>12900</v>
      </c>
      <c r="B52" s="52">
        <f>+M12</f>
        <v>14158.62</v>
      </c>
      <c r="C52" s="21" t="s">
        <v>99</v>
      </c>
    </row>
    <row r="53" spans="1:3" ht="17.25">
      <c r="A53" s="55">
        <f>+N12</f>
        <v>100000</v>
      </c>
      <c r="B53" s="52">
        <f>+O12</f>
        <v>99722.98000000001</v>
      </c>
      <c r="C53" s="21" t="s">
        <v>36</v>
      </c>
    </row>
    <row r="55" spans="1:2" ht="16.5">
      <c r="A55" s="55"/>
      <c r="B55" s="52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59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0"/>
  <sheetViews>
    <sheetView workbookViewId="0" topLeftCell="H3">
      <selection activeCell="P18" sqref="P18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0.28125" style="1" customWidth="1"/>
    <col min="4" max="4" width="7.140625" style="1" customWidth="1"/>
    <col min="5" max="5" width="9.57421875" style="1" customWidth="1"/>
    <col min="6" max="6" width="8.28125" style="1" customWidth="1"/>
    <col min="7" max="7" width="10.140625" style="1" customWidth="1"/>
    <col min="8" max="8" width="7.421875" style="1" customWidth="1"/>
    <col min="9" max="9" width="10.574218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7.57421875" style="1" customWidth="1"/>
    <col min="15" max="15" width="10.28125" style="1" customWidth="1"/>
    <col min="16" max="16" width="12.140625" style="1" customWidth="1"/>
    <col min="17" max="17" width="12.00390625" style="1" customWidth="1"/>
    <col min="18" max="18" width="11.8515625" style="1" bestFit="1" customWidth="1"/>
    <col min="19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5" t="s">
        <v>124</v>
      </c>
      <c r="C2" s="181"/>
      <c r="D2" s="181"/>
      <c r="E2" s="182"/>
      <c r="F2" s="182"/>
      <c r="G2" s="178"/>
      <c r="K2" s="183" t="s">
        <v>24</v>
      </c>
      <c r="L2" s="183"/>
      <c r="M2" s="150">
        <v>40664</v>
      </c>
      <c r="O2" s="56"/>
    </row>
    <row r="3" spans="2:4" ht="16.5">
      <c r="B3" s="180"/>
      <c r="C3" s="163"/>
      <c r="D3" s="16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33</v>
      </c>
      <c r="K5" s="173"/>
      <c r="L5" s="172" t="s">
        <v>37</v>
      </c>
      <c r="M5" s="173"/>
      <c r="N5" s="172" t="s">
        <v>34</v>
      </c>
      <c r="O5" s="173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9" ht="17.25">
      <c r="A7" s="31" t="s">
        <v>132</v>
      </c>
      <c r="B7" s="32">
        <v>982854</v>
      </c>
      <c r="C7" s="33">
        <f>103269.94+245887.68+10692.69+17496.8+600.4+1580.99</f>
        <v>379528.5</v>
      </c>
      <c r="D7" s="32">
        <v>17960</v>
      </c>
      <c r="E7" s="33">
        <f>3835.88+8742.09</f>
        <v>12577.970000000001</v>
      </c>
      <c r="F7" s="32">
        <v>638238</v>
      </c>
      <c r="G7" s="33">
        <f>185781.96+338310.9+75.89+396.98+1000</f>
        <v>525565.73</v>
      </c>
      <c r="H7" s="32">
        <v>240811</v>
      </c>
      <c r="I7" s="33">
        <f>15478+144989.7</f>
        <v>160467.7</v>
      </c>
      <c r="J7" s="32">
        <v>0</v>
      </c>
      <c r="K7" s="33">
        <v>339</v>
      </c>
      <c r="L7" s="32">
        <v>0</v>
      </c>
      <c r="M7" s="37">
        <f>6241.87+15975.89</f>
        <v>22217.76</v>
      </c>
      <c r="N7" s="32">
        <v>200000</v>
      </c>
      <c r="O7" s="33">
        <f>106481.52+1568.92</f>
        <v>108050.44</v>
      </c>
      <c r="P7" s="34">
        <f>+C7+E7+G7+I7+K7+O7+M7</f>
        <v>1208747.0999999999</v>
      </c>
      <c r="Q7" s="34">
        <f>+B7+D7+F7+H7+J7+N7+L7-P7</f>
        <v>871115.9000000001</v>
      </c>
      <c r="R7" s="5"/>
      <c r="S7" s="5"/>
    </row>
    <row r="8" spans="1:18" ht="17.25" hidden="1">
      <c r="A8" s="31" t="s">
        <v>95</v>
      </c>
      <c r="B8" s="32">
        <v>0</v>
      </c>
      <c r="C8" s="33"/>
      <c r="D8" s="32">
        <v>0</v>
      </c>
      <c r="E8" s="33"/>
      <c r="F8" s="32">
        <v>0</v>
      </c>
      <c r="G8" s="33"/>
      <c r="H8" s="32">
        <v>0</v>
      </c>
      <c r="I8" s="33"/>
      <c r="J8" s="32">
        <v>0</v>
      </c>
      <c r="K8" s="33"/>
      <c r="L8" s="32">
        <v>0</v>
      </c>
      <c r="M8" s="37"/>
      <c r="N8" s="32">
        <v>0</v>
      </c>
      <c r="O8" s="33"/>
      <c r="P8" s="34">
        <f aca="true" t="shared" si="0" ref="P8:P14">+C8+E8+G8+I8+K8+O8</f>
        <v>0</v>
      </c>
      <c r="Q8" s="34">
        <f aca="true" t="shared" si="1" ref="Q8:Q14">+B8+D8+F8+H8+J8+N8-P8</f>
        <v>0</v>
      </c>
      <c r="R8" s="5"/>
    </row>
    <row r="9" spans="1:18" ht="17.25">
      <c r="A9" s="31" t="s">
        <v>93</v>
      </c>
      <c r="B9" s="32">
        <v>257355</v>
      </c>
      <c r="C9" s="33">
        <f>26581.99+76332.46</f>
        <v>102914.45000000001</v>
      </c>
      <c r="D9" s="32">
        <v>2000</v>
      </c>
      <c r="E9" s="33">
        <v>8281.82</v>
      </c>
      <c r="F9" s="32">
        <v>249000</v>
      </c>
      <c r="G9" s="33">
        <f>7340+23800.71</f>
        <v>31140.71</v>
      </c>
      <c r="H9" s="32">
        <v>0</v>
      </c>
      <c r="I9" s="33">
        <v>0</v>
      </c>
      <c r="J9" s="32">
        <v>1500</v>
      </c>
      <c r="K9" s="33">
        <v>0</v>
      </c>
      <c r="L9" s="32">
        <v>0</v>
      </c>
      <c r="M9" s="37">
        <v>0</v>
      </c>
      <c r="N9" s="32">
        <v>0</v>
      </c>
      <c r="O9" s="33">
        <v>5077.76</v>
      </c>
      <c r="P9" s="34">
        <f t="shared" si="0"/>
        <v>147414.74000000002</v>
      </c>
      <c r="Q9" s="34">
        <f t="shared" si="1"/>
        <v>362440.26</v>
      </c>
      <c r="R9" s="5"/>
    </row>
    <row r="10" spans="1:18" ht="17.25">
      <c r="A10" s="31" t="s">
        <v>125</v>
      </c>
      <c r="B10" s="32">
        <v>49792</v>
      </c>
      <c r="C10" s="33">
        <f>7218.58+11102.78</f>
        <v>18321.36</v>
      </c>
      <c r="D10" s="32">
        <v>0</v>
      </c>
      <c r="E10" s="33">
        <v>0</v>
      </c>
      <c r="F10" s="32">
        <v>0</v>
      </c>
      <c r="G10" s="33">
        <v>500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967.67</v>
      </c>
      <c r="P10" s="34">
        <f t="shared" si="0"/>
        <v>19789.03</v>
      </c>
      <c r="Q10" s="34">
        <f t="shared" si="1"/>
        <v>30002.97</v>
      </c>
      <c r="R10" s="5"/>
    </row>
    <row r="11" spans="1:18" ht="17.25">
      <c r="A11" s="31" t="s">
        <v>94</v>
      </c>
      <c r="B11" s="32">
        <v>77210</v>
      </c>
      <c r="C11" s="33">
        <f>6630.96+18136.12</f>
        <v>24767.079999999998</v>
      </c>
      <c r="D11" s="32">
        <v>0</v>
      </c>
      <c r="E11" s="33">
        <f>896.82+576.69</f>
        <v>1473.5100000000002</v>
      </c>
      <c r="F11" s="32">
        <v>0</v>
      </c>
      <c r="G11" s="33">
        <f>2456.29+7893.07</f>
        <v>10349.36</v>
      </c>
      <c r="H11" s="32">
        <v>0</v>
      </c>
      <c r="I11" s="33">
        <v>0</v>
      </c>
      <c r="J11" s="32">
        <v>0</v>
      </c>
      <c r="K11" s="33">
        <f>199*2</f>
        <v>398</v>
      </c>
      <c r="L11" s="32">
        <v>0</v>
      </c>
      <c r="M11" s="37">
        <v>0</v>
      </c>
      <c r="N11" s="32">
        <v>0</v>
      </c>
      <c r="O11" s="33">
        <v>1995.21</v>
      </c>
      <c r="P11" s="34">
        <f t="shared" si="0"/>
        <v>38983.159999999996</v>
      </c>
      <c r="Q11" s="34">
        <f t="shared" si="1"/>
        <v>38226.840000000004</v>
      </c>
      <c r="R11" s="5"/>
    </row>
    <row r="12" spans="1:18" ht="17.25">
      <c r="A12" s="31" t="s">
        <v>96</v>
      </c>
      <c r="B12" s="32">
        <v>113170</v>
      </c>
      <c r="C12" s="33">
        <f>7541.08+21704.28</f>
        <v>29245.36</v>
      </c>
      <c r="D12" s="32">
        <v>0</v>
      </c>
      <c r="E12" s="33">
        <v>0</v>
      </c>
      <c r="F12" s="32">
        <v>0</v>
      </c>
      <c r="G12" s="33">
        <v>257.35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2424.35</v>
      </c>
      <c r="P12" s="34">
        <f t="shared" si="0"/>
        <v>31927.059999999998</v>
      </c>
      <c r="Q12" s="34">
        <f t="shared" si="1"/>
        <v>81242.94</v>
      </c>
      <c r="R12" s="5"/>
    </row>
    <row r="13" spans="1:18" ht="17.25">
      <c r="A13" s="31" t="s">
        <v>126</v>
      </c>
      <c r="B13" s="32">
        <v>157649</v>
      </c>
      <c r="C13" s="33">
        <f>13425.1+39714.11</f>
        <v>53139.21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3172.79</v>
      </c>
      <c r="P13" s="34">
        <f t="shared" si="0"/>
        <v>56312</v>
      </c>
      <c r="Q13" s="34">
        <f t="shared" si="1"/>
        <v>101337</v>
      </c>
      <c r="R13" s="5"/>
    </row>
    <row r="14" spans="1:18" ht="17.25">
      <c r="A14" s="31" t="s">
        <v>127</v>
      </c>
      <c r="B14" s="32">
        <v>0</v>
      </c>
      <c r="C14" s="33">
        <v>0</v>
      </c>
      <c r="D14" s="32">
        <v>5921</v>
      </c>
      <c r="E14" s="33">
        <v>0</v>
      </c>
      <c r="F14" s="32">
        <v>105000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0</v>
      </c>
      <c r="P14" s="34">
        <f t="shared" si="0"/>
        <v>0</v>
      </c>
      <c r="Q14" s="34">
        <f t="shared" si="1"/>
        <v>110921</v>
      </c>
      <c r="R14" s="5"/>
    </row>
    <row r="15" spans="1:18" ht="17.25">
      <c r="A15" s="31" t="s">
        <v>133</v>
      </c>
      <c r="B15" s="32">
        <v>48076</v>
      </c>
      <c r="C15" s="33">
        <f>11153.02+28183.19</f>
        <v>39336.21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2316.87</v>
      </c>
      <c r="P15" s="34">
        <f>+C15+E15+G15+I15+K15+O15</f>
        <v>41653.08</v>
      </c>
      <c r="Q15" s="34">
        <f>+B15+D15+F15+H15+J15+N15-P15</f>
        <v>6422.919999999998</v>
      </c>
      <c r="R15" s="5"/>
    </row>
    <row r="16" spans="1:18" ht="18" thickBot="1">
      <c r="A16" s="38" t="s">
        <v>11</v>
      </c>
      <c r="B16" s="39">
        <f aca="true" t="shared" si="2" ref="B16:Q16">SUM(B7:B15)</f>
        <v>1686106</v>
      </c>
      <c r="C16" s="40">
        <f t="shared" si="2"/>
        <v>647252.1699999999</v>
      </c>
      <c r="D16" s="39">
        <f t="shared" si="2"/>
        <v>25881</v>
      </c>
      <c r="E16" s="40">
        <f t="shared" si="2"/>
        <v>22333.300000000003</v>
      </c>
      <c r="F16" s="39">
        <f t="shared" si="2"/>
        <v>992238</v>
      </c>
      <c r="G16" s="40">
        <f t="shared" si="2"/>
        <v>567813.1499999999</v>
      </c>
      <c r="H16" s="39">
        <f t="shared" si="2"/>
        <v>240811</v>
      </c>
      <c r="I16" s="40">
        <f t="shared" si="2"/>
        <v>160467.7</v>
      </c>
      <c r="J16" s="39">
        <f t="shared" si="2"/>
        <v>1500</v>
      </c>
      <c r="K16" s="40">
        <f t="shared" si="2"/>
        <v>737</v>
      </c>
      <c r="L16" s="39">
        <f t="shared" si="2"/>
        <v>0</v>
      </c>
      <c r="M16" s="40">
        <f t="shared" si="2"/>
        <v>22217.76</v>
      </c>
      <c r="N16" s="39">
        <f t="shared" si="2"/>
        <v>200000</v>
      </c>
      <c r="O16" s="40">
        <f t="shared" si="2"/>
        <v>124005.09</v>
      </c>
      <c r="P16" s="42">
        <f>SUM(P7:P15)</f>
        <v>1544826.17</v>
      </c>
      <c r="Q16" s="42">
        <f t="shared" si="2"/>
        <v>1601709.83</v>
      </c>
      <c r="R16" s="5"/>
    </row>
    <row r="17" spans="1:17" ht="17.25" thickBot="1">
      <c r="A17" s="43" t="s">
        <v>31</v>
      </c>
      <c r="B17" s="44"/>
      <c r="C17" s="139">
        <f>+C16/B16</f>
        <v>0.3838739497991229</v>
      </c>
      <c r="D17" s="139"/>
      <c r="E17" s="139">
        <f>+E16/D16</f>
        <v>0.8629226073181099</v>
      </c>
      <c r="F17" s="139"/>
      <c r="G17" s="139">
        <f>+G16/F16</f>
        <v>0.5722549932576659</v>
      </c>
      <c r="H17" s="139"/>
      <c r="I17" s="139">
        <f>+I16/H16</f>
        <v>0.6663636627894906</v>
      </c>
      <c r="J17" s="139"/>
      <c r="K17" s="139">
        <f>+K16/J16</f>
        <v>0.49133333333333334</v>
      </c>
      <c r="L17" s="147"/>
      <c r="M17" s="139"/>
      <c r="N17" s="149"/>
      <c r="O17" s="141">
        <f>+O16/N16</f>
        <v>0.62002545</v>
      </c>
      <c r="P17" s="58"/>
      <c r="Q17" s="5"/>
    </row>
    <row r="18" spans="1:17" ht="16.5">
      <c r="A18" s="49"/>
      <c r="B18" s="4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40"/>
      <c r="Q18" s="5"/>
    </row>
    <row r="19" spans="1:16" ht="16.5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36" spans="5:8" ht="16.5">
      <c r="E36" s="59"/>
      <c r="F36" s="59"/>
      <c r="G36" s="60"/>
      <c r="H36" s="60"/>
    </row>
    <row r="37" spans="5:8" ht="16.5">
      <c r="E37" s="61"/>
      <c r="F37" s="61"/>
      <c r="G37" s="61"/>
      <c r="H37" s="61"/>
    </row>
    <row r="42" spans="1:6" ht="16.5">
      <c r="A42" s="53"/>
      <c r="B42" s="53"/>
      <c r="C42" s="53"/>
      <c r="D42" s="53"/>
      <c r="E42" s="53"/>
      <c r="F42" s="53"/>
    </row>
    <row r="43" ht="16.5">
      <c r="C43" s="48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1" spans="1:5" ht="16.5">
      <c r="A51" s="62" t="s">
        <v>27</v>
      </c>
      <c r="B51" s="62" t="s">
        <v>28</v>
      </c>
      <c r="C51" s="62" t="s">
        <v>29</v>
      </c>
      <c r="D51" s="62"/>
      <c r="E51" s="63"/>
    </row>
    <row r="52" spans="1:3" ht="17.25">
      <c r="A52" s="64">
        <f>+B16</f>
        <v>1686106</v>
      </c>
      <c r="B52" s="65">
        <f>+C16</f>
        <v>647252.1699999999</v>
      </c>
      <c r="C52" s="62" t="s">
        <v>1</v>
      </c>
    </row>
    <row r="53" spans="1:3" ht="17.25">
      <c r="A53" s="64">
        <f>+D16</f>
        <v>25881</v>
      </c>
      <c r="B53" s="65">
        <f>+E16</f>
        <v>22333.300000000003</v>
      </c>
      <c r="C53" s="62" t="s">
        <v>2</v>
      </c>
    </row>
    <row r="54" spans="1:3" ht="17.25">
      <c r="A54" s="64">
        <f>+F16</f>
        <v>992238</v>
      </c>
      <c r="B54" s="65">
        <f>+G16</f>
        <v>567813.1499999999</v>
      </c>
      <c r="C54" s="62" t="s">
        <v>3</v>
      </c>
    </row>
    <row r="55" spans="1:3" ht="17.25">
      <c r="A55" s="64">
        <f>+H16</f>
        <v>240811</v>
      </c>
      <c r="B55" s="65">
        <f>+I16</f>
        <v>160467.7</v>
      </c>
      <c r="C55" s="62" t="s">
        <v>35</v>
      </c>
    </row>
    <row r="56" spans="1:3" ht="17.25">
      <c r="A56" s="64">
        <f>+J16</f>
        <v>1500</v>
      </c>
      <c r="B56" s="65">
        <f>+K16</f>
        <v>737</v>
      </c>
      <c r="C56" s="62" t="s">
        <v>33</v>
      </c>
    </row>
    <row r="57" spans="1:3" ht="17.25">
      <c r="A57" s="66">
        <f>+L16</f>
        <v>0</v>
      </c>
      <c r="B57" s="65">
        <f>+M16</f>
        <v>22217.76</v>
      </c>
      <c r="C57" s="62" t="s">
        <v>104</v>
      </c>
    </row>
    <row r="58" spans="1:3" ht="17.25">
      <c r="A58" s="64">
        <f>+N16</f>
        <v>200000</v>
      </c>
      <c r="B58" s="65">
        <f>+O16</f>
        <v>124005.09</v>
      </c>
      <c r="C58" s="62" t="s">
        <v>36</v>
      </c>
    </row>
    <row r="59" spans="1:3" ht="17.25">
      <c r="A59" s="64"/>
      <c r="B59" s="64"/>
      <c r="C59" s="62"/>
    </row>
    <row r="60" spans="1:2" ht="16.5">
      <c r="A60" s="1">
        <v>2809993</v>
      </c>
      <c r="B60" s="5">
        <v>749308.3</v>
      </c>
    </row>
  </sheetData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I1">
      <selection activeCell="P15" sqref="P15"/>
    </sheetView>
  </sheetViews>
  <sheetFormatPr defaultColWidth="11.421875" defaultRowHeight="15"/>
  <cols>
    <col min="1" max="1" width="21.00390625" style="1" customWidth="1"/>
    <col min="2" max="2" width="9.28125" style="1" customWidth="1"/>
    <col min="3" max="3" width="10.140625" style="1" customWidth="1"/>
    <col min="4" max="4" width="6.8515625" style="1" customWidth="1"/>
    <col min="5" max="5" width="9.28125" style="1" customWidth="1"/>
    <col min="6" max="6" width="9.00390625" style="1" customWidth="1"/>
    <col min="7" max="7" width="11.140625" style="1" customWidth="1"/>
    <col min="8" max="8" width="9.140625" style="1" customWidth="1"/>
    <col min="9" max="9" width="10.421875" style="1" customWidth="1"/>
    <col min="10" max="10" width="6.8515625" style="1" customWidth="1"/>
    <col min="11" max="11" width="8.57421875" style="1" customWidth="1"/>
    <col min="12" max="12" width="7.8515625" style="1" customWidth="1"/>
    <col min="13" max="13" width="9.57421875" style="1" customWidth="1"/>
    <col min="14" max="14" width="7.421875" style="1" customWidth="1"/>
    <col min="15" max="15" width="10.57421875" style="1" customWidth="1"/>
    <col min="16" max="17" width="12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128</v>
      </c>
      <c r="C2" s="181"/>
      <c r="D2" s="181"/>
      <c r="E2" s="182"/>
      <c r="F2" s="182"/>
      <c r="G2" s="178"/>
      <c r="K2" s="184" t="s">
        <v>24</v>
      </c>
      <c r="L2" s="185"/>
      <c r="M2" s="150">
        <v>40664</v>
      </c>
      <c r="O2" s="56"/>
    </row>
    <row r="3" spans="2:4" ht="16.5">
      <c r="B3" s="180"/>
      <c r="C3" s="163"/>
      <c r="D3" s="16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33</v>
      </c>
      <c r="K5" s="173"/>
      <c r="L5" s="172" t="s">
        <v>37</v>
      </c>
      <c r="M5" s="173"/>
      <c r="N5" s="172" t="s">
        <v>34</v>
      </c>
      <c r="O5" s="173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7" ht="17.25">
      <c r="A7" s="97"/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59"/>
      <c r="N7" s="159"/>
      <c r="O7" s="160"/>
      <c r="P7" s="161"/>
      <c r="Q7" s="162"/>
    </row>
    <row r="8" spans="1:18" ht="17.25">
      <c r="A8" s="31" t="s">
        <v>134</v>
      </c>
      <c r="B8" s="32">
        <v>1567215</v>
      </c>
      <c r="C8" s="33">
        <f>156431.49+416742.96</f>
        <v>573174.45</v>
      </c>
      <c r="D8" s="32">
        <v>33506</v>
      </c>
      <c r="E8" s="33">
        <f>4308.38+9566.36</f>
        <v>13874.740000000002</v>
      </c>
      <c r="F8" s="32">
        <v>1318843</v>
      </c>
      <c r="G8" s="33">
        <f>142425.24+375672.46</f>
        <v>518097.7</v>
      </c>
      <c r="H8" s="32">
        <v>1024519</v>
      </c>
      <c r="I8" s="33">
        <f>154043.76+713162.5</f>
        <v>867206.26</v>
      </c>
      <c r="J8" s="32">
        <v>0</v>
      </c>
      <c r="K8" s="33">
        <f>2717.36+181.03</f>
        <v>2898.3900000000003</v>
      </c>
      <c r="L8" s="32">
        <v>416000</v>
      </c>
      <c r="M8" s="37">
        <v>12239.87</v>
      </c>
      <c r="N8" s="32">
        <v>200000</v>
      </c>
      <c r="O8" s="33">
        <v>164106.77</v>
      </c>
      <c r="P8" s="34">
        <f>+C8+E8+G8+I8+K8+O8+M8</f>
        <v>2151598.1799999997</v>
      </c>
      <c r="Q8" s="34">
        <f>+B8+D8+F8+H8+J8+N8+L8-P8</f>
        <v>2408484.8200000003</v>
      </c>
      <c r="R8" s="5"/>
    </row>
    <row r="9" spans="1:18" ht="17.25" hidden="1">
      <c r="A9" s="31" t="s">
        <v>135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136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1567215</v>
      </c>
      <c r="C12" s="40">
        <f t="shared" si="0"/>
        <v>573174.45</v>
      </c>
      <c r="D12" s="39">
        <f t="shared" si="0"/>
        <v>33506</v>
      </c>
      <c r="E12" s="40">
        <f t="shared" si="0"/>
        <v>13874.740000000002</v>
      </c>
      <c r="F12" s="39">
        <f t="shared" si="0"/>
        <v>1318843</v>
      </c>
      <c r="G12" s="40">
        <f t="shared" si="0"/>
        <v>518097.7</v>
      </c>
      <c r="H12" s="39">
        <f t="shared" si="0"/>
        <v>1024519</v>
      </c>
      <c r="I12" s="40">
        <f t="shared" si="0"/>
        <v>867206.26</v>
      </c>
      <c r="J12" s="39">
        <f t="shared" si="0"/>
        <v>0</v>
      </c>
      <c r="K12" s="40">
        <f t="shared" si="0"/>
        <v>2898.3900000000003</v>
      </c>
      <c r="L12" s="39">
        <f t="shared" si="0"/>
        <v>416000</v>
      </c>
      <c r="M12" s="40">
        <f t="shared" si="0"/>
        <v>12239.87</v>
      </c>
      <c r="N12" s="39">
        <f t="shared" si="0"/>
        <v>200000</v>
      </c>
      <c r="O12" s="40">
        <f t="shared" si="0"/>
        <v>164106.77</v>
      </c>
      <c r="P12" s="42">
        <f t="shared" si="0"/>
        <v>2151598.1799999997</v>
      </c>
      <c r="Q12" s="42">
        <f t="shared" si="0"/>
        <v>2408484.8200000003</v>
      </c>
      <c r="R12" s="5"/>
    </row>
    <row r="13" spans="1:17" ht="17.25" thickBot="1">
      <c r="A13" s="43" t="s">
        <v>31</v>
      </c>
      <c r="B13" s="44"/>
      <c r="C13" s="139">
        <f>+C12/B12</f>
        <v>0.3657280271054067</v>
      </c>
      <c r="D13" s="139"/>
      <c r="E13" s="139">
        <f>+E12/D12</f>
        <v>0.4140971766250821</v>
      </c>
      <c r="F13" s="139"/>
      <c r="G13" s="139">
        <f>+G12/F12</f>
        <v>0.39284259005810396</v>
      </c>
      <c r="H13" s="45"/>
      <c r="I13" s="139">
        <f>+I12/H12</f>
        <v>0.8464521009371228</v>
      </c>
      <c r="J13" s="45"/>
      <c r="K13" s="45"/>
      <c r="L13" s="47"/>
      <c r="M13" s="147">
        <f>+M12/L12</f>
        <v>0.029422764423076925</v>
      </c>
      <c r="N13" s="45"/>
      <c r="O13" s="141">
        <f>+O12/N12</f>
        <v>0.8205338499999999</v>
      </c>
      <c r="P13" s="58"/>
      <c r="Q13" s="5"/>
    </row>
    <row r="14" spans="1:17" ht="9" customHeight="1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27</v>
      </c>
      <c r="B47" s="62" t="s">
        <v>28</v>
      </c>
      <c r="C47" s="62" t="s">
        <v>29</v>
      </c>
      <c r="D47" s="62"/>
      <c r="E47" s="63"/>
    </row>
    <row r="48" spans="1:3" ht="17.25">
      <c r="A48" s="64">
        <f>+B12</f>
        <v>1567215</v>
      </c>
      <c r="B48" s="65">
        <f>+C12</f>
        <v>573174.45</v>
      </c>
      <c r="C48" s="62" t="s">
        <v>1</v>
      </c>
    </row>
    <row r="49" spans="1:3" ht="17.25">
      <c r="A49" s="64">
        <f>+D12</f>
        <v>33506</v>
      </c>
      <c r="B49" s="65">
        <f>+E12</f>
        <v>13874.740000000002</v>
      </c>
      <c r="C49" s="62" t="s">
        <v>2</v>
      </c>
    </row>
    <row r="50" spans="1:3" ht="17.25">
      <c r="A50" s="64">
        <f>+F12</f>
        <v>1318843</v>
      </c>
      <c r="B50" s="65">
        <f>+G12</f>
        <v>518097.7</v>
      </c>
      <c r="C50" s="62" t="s">
        <v>3</v>
      </c>
    </row>
    <row r="51" spans="1:3" ht="17.25">
      <c r="A51" s="64">
        <f>+H12</f>
        <v>1024519</v>
      </c>
      <c r="B51" s="65">
        <f>+I12</f>
        <v>867206.26</v>
      </c>
      <c r="C51" s="62" t="s">
        <v>35</v>
      </c>
    </row>
    <row r="52" spans="1:3" ht="17.25">
      <c r="A52" s="64">
        <f>+J12</f>
        <v>0</v>
      </c>
      <c r="B52" s="65">
        <f>+K12</f>
        <v>2898.3900000000003</v>
      </c>
      <c r="C52" s="62" t="s">
        <v>33</v>
      </c>
    </row>
    <row r="53" spans="1:3" ht="17.25">
      <c r="A53" s="66">
        <f>+L12</f>
        <v>416000</v>
      </c>
      <c r="B53" s="65">
        <f>+M12</f>
        <v>12239.87</v>
      </c>
      <c r="C53" s="62" t="s">
        <v>104</v>
      </c>
    </row>
    <row r="54" spans="1:3" ht="17.25">
      <c r="A54" s="64">
        <f>+N12</f>
        <v>200000</v>
      </c>
      <c r="B54" s="65">
        <f>+O12</f>
        <v>164106.77</v>
      </c>
      <c r="C54" s="62" t="s">
        <v>36</v>
      </c>
    </row>
    <row r="55" spans="1:3" ht="17.25">
      <c r="A55" s="64">
        <f>SUM(A48:A54)</f>
        <v>4560083</v>
      </c>
      <c r="B55" s="65">
        <f>SUM(B48:B54)</f>
        <v>2151598.1799999997</v>
      </c>
      <c r="C55" s="62"/>
    </row>
    <row r="56" ht="16.5">
      <c r="B56" s="5"/>
    </row>
  </sheetData>
  <mergeCells count="10">
    <mergeCell ref="N5:O5"/>
    <mergeCell ref="B5:C5"/>
    <mergeCell ref="D5:E5"/>
    <mergeCell ref="F5:G5"/>
    <mergeCell ref="H5:I5"/>
    <mergeCell ref="L5:M5"/>
    <mergeCell ref="B2:G2"/>
    <mergeCell ref="K2:L2"/>
    <mergeCell ref="B3:D3"/>
    <mergeCell ref="J5:K5"/>
  </mergeCells>
  <printOptions/>
  <pageMargins left="0.93" right="0.7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7">
      <selection activeCell="B18" sqref="B18:C18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3" width="13.140625" style="1" customWidth="1"/>
    <col min="4" max="4" width="9.28125" style="1" customWidth="1"/>
    <col min="5" max="5" width="13.140625" style="1" customWidth="1"/>
    <col min="6" max="6" width="12.28125" style="1" customWidth="1"/>
    <col min="7" max="7" width="12.00390625" style="1" customWidth="1"/>
    <col min="8" max="8" width="12.57421875" style="1" customWidth="1"/>
    <col min="9" max="9" width="12.7109375" style="1" customWidth="1"/>
    <col min="10" max="10" width="13.57421875" style="1" customWidth="1"/>
    <col min="11" max="11" width="13.140625" style="1" customWidth="1"/>
    <col min="12" max="12" width="14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42</v>
      </c>
    </row>
    <row r="2" spans="1:3" ht="18.75" thickBot="1">
      <c r="A2" s="18" t="s">
        <v>43</v>
      </c>
      <c r="C2" s="150">
        <v>40664</v>
      </c>
    </row>
    <row r="3" spans="1:12" ht="18" thickTop="1">
      <c r="A3" s="2" t="s">
        <v>44</v>
      </c>
      <c r="B3" s="153" t="s">
        <v>45</v>
      </c>
      <c r="C3" s="153" t="s">
        <v>26</v>
      </c>
      <c r="D3" s="153" t="s">
        <v>46</v>
      </c>
      <c r="E3" s="186" t="s">
        <v>47</v>
      </c>
      <c r="F3" s="187"/>
      <c r="G3" s="187"/>
      <c r="H3" s="187"/>
      <c r="I3" s="187"/>
      <c r="J3" s="187"/>
      <c r="K3" s="188"/>
      <c r="L3" s="155" t="s">
        <v>25</v>
      </c>
    </row>
    <row r="4" spans="1:12" ht="17.25">
      <c r="A4" s="3"/>
      <c r="B4" s="154" t="s">
        <v>48</v>
      </c>
      <c r="C4" s="154" t="s">
        <v>48</v>
      </c>
      <c r="D4" s="154" t="s">
        <v>49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50</v>
      </c>
      <c r="J4" s="4" t="s">
        <v>30</v>
      </c>
      <c r="K4" s="4" t="s">
        <v>36</v>
      </c>
      <c r="L4" s="156" t="s">
        <v>51</v>
      </c>
    </row>
    <row r="5" spans="1:12" ht="16.5">
      <c r="A5" s="157" t="s">
        <v>16</v>
      </c>
      <c r="B5" s="101">
        <f>+INT!P12+INT!Q12</f>
        <v>5931773</v>
      </c>
      <c r="C5" s="101">
        <f>SUM(E5:K5)</f>
        <v>2422199.1200000006</v>
      </c>
      <c r="D5" s="102">
        <f>+C5/B5</f>
        <v>0.4083431918247715</v>
      </c>
      <c r="E5" s="101">
        <f>+INT!C12</f>
        <v>748103.26</v>
      </c>
      <c r="F5" s="101">
        <f>+INT!E$12</f>
        <v>12120.98</v>
      </c>
      <c r="G5" s="101">
        <f>+INT!G$12</f>
        <v>549197.06</v>
      </c>
      <c r="H5" s="101">
        <f>+INT!I$12</f>
        <v>989637.06</v>
      </c>
      <c r="I5" s="101">
        <f>+INT!K$12</f>
        <v>9259.16</v>
      </c>
      <c r="J5" s="101">
        <f>+INT!M12</f>
        <v>14158.62</v>
      </c>
      <c r="K5" s="101">
        <f>+INT!O$12</f>
        <v>99722.98000000001</v>
      </c>
      <c r="L5" s="103">
        <f>+B5-C5</f>
        <v>3509573.8799999994</v>
      </c>
    </row>
    <row r="6" spans="1:12" ht="16.5">
      <c r="A6" s="157" t="s">
        <v>17</v>
      </c>
      <c r="B6" s="101">
        <f>+GOB!P17+GOB!Q17</f>
        <v>8804863</v>
      </c>
      <c r="C6" s="101">
        <f>SUM(E6:K6)</f>
        <v>3708476.7899999996</v>
      </c>
      <c r="D6" s="102">
        <f>+C6/B6</f>
        <v>0.4211850644354148</v>
      </c>
      <c r="E6" s="101">
        <f>+GOB!C17</f>
        <v>1855241.39</v>
      </c>
      <c r="F6" s="101">
        <f>+GOB!E17</f>
        <v>45825.9</v>
      </c>
      <c r="G6" s="101">
        <f>+GOB!G17</f>
        <v>855450.08</v>
      </c>
      <c r="H6" s="101">
        <f>+GOB!I17</f>
        <v>501252.54</v>
      </c>
      <c r="I6" s="101">
        <f>+GOB!K17</f>
        <v>116948.41</v>
      </c>
      <c r="J6" s="101">
        <f>+GOB!M17</f>
        <v>140796.94</v>
      </c>
      <c r="K6" s="101">
        <f>+GOB!O17</f>
        <v>192961.53</v>
      </c>
      <c r="L6" s="103">
        <f>+B6-C6</f>
        <v>5096386.210000001</v>
      </c>
    </row>
    <row r="7" spans="1:12" ht="16.5">
      <c r="A7" s="157" t="s">
        <v>18</v>
      </c>
      <c r="B7" s="101">
        <f>+SEH!P14+SEH!Q14</f>
        <v>6948092</v>
      </c>
      <c r="C7" s="101">
        <f>SUM(E7:K7)</f>
        <v>3431763.4199999995</v>
      </c>
      <c r="D7" s="102">
        <f>+C7/B7</f>
        <v>0.4939145048741438</v>
      </c>
      <c r="E7" s="101">
        <f>+SEH!C14</f>
        <v>1773825.16</v>
      </c>
      <c r="F7" s="101">
        <f>+SEH!E14</f>
        <v>421840.47000000003</v>
      </c>
      <c r="G7" s="101">
        <f>+SEH!G14</f>
        <v>847428.97</v>
      </c>
      <c r="H7" s="101">
        <f>+SEH!I14</f>
        <v>714.56</v>
      </c>
      <c r="I7" s="101">
        <f>+SEH!K14</f>
        <v>132366.84</v>
      </c>
      <c r="J7" s="101">
        <f>+SEH!M14</f>
        <v>1857.55</v>
      </c>
      <c r="K7" s="101">
        <f>+SEH!O14</f>
        <v>253729.87000000002</v>
      </c>
      <c r="L7" s="103">
        <f>+B7-C7</f>
        <v>3516328.5800000005</v>
      </c>
    </row>
    <row r="8" spans="1:12" ht="16.5">
      <c r="A8" s="157" t="s">
        <v>21</v>
      </c>
      <c r="B8" s="101">
        <f>+SAS!P13+SAS!Q13</f>
        <v>15359415</v>
      </c>
      <c r="C8" s="101">
        <f aca="true" t="shared" si="0" ref="C8:C15">SUM(E8:K8)</f>
        <v>7526516.8100000005</v>
      </c>
      <c r="D8" s="102">
        <f aca="true" t="shared" si="1" ref="D8:D15">+C8/B8</f>
        <v>0.490026267927522</v>
      </c>
      <c r="E8" s="101">
        <f>+SAS!C13</f>
        <v>3488429.74</v>
      </c>
      <c r="F8" s="101">
        <f>+SAS!E13</f>
        <v>36416.43</v>
      </c>
      <c r="G8" s="101">
        <f>+SAS!G13</f>
        <v>1202026.04</v>
      </c>
      <c r="H8" s="101">
        <f>+SAS!I13</f>
        <v>2430336.68</v>
      </c>
      <c r="I8" s="101">
        <f>+SAS!K13</f>
        <v>26949.800000000003</v>
      </c>
      <c r="J8" s="101">
        <f>+SAS!M13</f>
        <v>11048.92</v>
      </c>
      <c r="K8" s="101">
        <f>+SAS!O13</f>
        <v>331309.2</v>
      </c>
      <c r="L8" s="103">
        <f aca="true" t="shared" si="2" ref="L8:L15">+B8-C8</f>
        <v>7832898.1899999995</v>
      </c>
    </row>
    <row r="9" spans="1:12" ht="16.5">
      <c r="A9" s="157" t="s">
        <v>19</v>
      </c>
      <c r="B9" s="101">
        <f>+SOP!P12+SOP!Q12</f>
        <v>21684670</v>
      </c>
      <c r="C9" s="101">
        <f t="shared" si="0"/>
        <v>13805978.77</v>
      </c>
      <c r="D9" s="102">
        <f t="shared" si="1"/>
        <v>0.6366699963614848</v>
      </c>
      <c r="E9" s="101">
        <f>+SOP!C12</f>
        <v>1502017.27</v>
      </c>
      <c r="F9" s="101">
        <f>+SOP!E12</f>
        <v>184643.71000000002</v>
      </c>
      <c r="G9" s="101">
        <f>+SOP!G12</f>
        <v>614279.04</v>
      </c>
      <c r="H9" s="101">
        <f>+SOP!I12</f>
        <v>10631</v>
      </c>
      <c r="I9" s="101">
        <f>+SOP!K12</f>
        <v>28911.51</v>
      </c>
      <c r="J9" s="101">
        <f>+SOP!M12</f>
        <v>11144840.61</v>
      </c>
      <c r="K9" s="101">
        <f>+SOP!O12</f>
        <v>320655.63</v>
      </c>
      <c r="L9" s="103">
        <f t="shared" si="2"/>
        <v>7878691.23</v>
      </c>
    </row>
    <row r="10" spans="1:12" ht="16.5">
      <c r="A10" s="157" t="s">
        <v>87</v>
      </c>
      <c r="B10" s="101">
        <f>+SFOI!P13+SFOI!Q13</f>
        <v>12849778</v>
      </c>
      <c r="C10" s="101">
        <f t="shared" si="0"/>
        <v>5821545.469999999</v>
      </c>
      <c r="D10" s="102">
        <f t="shared" si="1"/>
        <v>0.4530463849258718</v>
      </c>
      <c r="E10" s="101">
        <f>+SFOI!C13</f>
        <v>3886451.26</v>
      </c>
      <c r="F10" s="101">
        <f>+SFOI!E13</f>
        <v>88376.40999999999</v>
      </c>
      <c r="G10" s="101">
        <f>+SFOI!G13</f>
        <v>1237791.02</v>
      </c>
      <c r="H10" s="101">
        <f>+SFOI!I13</f>
        <v>0</v>
      </c>
      <c r="I10" s="101">
        <f>+SFOI!K13</f>
        <v>29563.789999999997</v>
      </c>
      <c r="J10" s="101">
        <f>+SFOI!M13</f>
        <v>9312.97</v>
      </c>
      <c r="K10" s="101">
        <f>+SFOI!O13</f>
        <v>570050.02</v>
      </c>
      <c r="L10" s="103">
        <f t="shared" si="2"/>
        <v>7028232.530000001</v>
      </c>
    </row>
    <row r="11" spans="1:12" ht="16.5">
      <c r="A11" s="157" t="s">
        <v>22</v>
      </c>
      <c r="B11" s="101">
        <f>+'CD'!P12+'CD'!Q12</f>
        <v>1601225</v>
      </c>
      <c r="C11" s="101">
        <f t="shared" si="0"/>
        <v>584356.8800000001</v>
      </c>
      <c r="D11" s="102">
        <f t="shared" si="1"/>
        <v>0.3649436400256055</v>
      </c>
      <c r="E11" s="101">
        <f>+'CD'!C12</f>
        <v>370873.37</v>
      </c>
      <c r="F11" s="101">
        <f>+'CD'!E12</f>
        <v>14263.58</v>
      </c>
      <c r="G11" s="101">
        <f>+'CD'!G12</f>
        <v>53088.72</v>
      </c>
      <c r="H11" s="101">
        <f>+'CD'!I12</f>
        <v>88414.93</v>
      </c>
      <c r="I11" s="101">
        <f>+'CD'!K12</f>
        <v>3211.4300000000003</v>
      </c>
      <c r="J11" s="101">
        <f>+'CD'!M12</f>
        <v>0</v>
      </c>
      <c r="K11" s="101">
        <f>+'CD'!O12</f>
        <v>54504.850000000006</v>
      </c>
      <c r="L11" s="103">
        <f t="shared" si="2"/>
        <v>1016868.1199999999</v>
      </c>
    </row>
    <row r="12" spans="1:12" ht="16.5">
      <c r="A12" s="157" t="s">
        <v>23</v>
      </c>
      <c r="B12" s="101">
        <f>+'CM'!N12+'CM'!O12</f>
        <v>464823</v>
      </c>
      <c r="C12" s="101">
        <f t="shared" si="0"/>
        <v>165403.06</v>
      </c>
      <c r="D12" s="102">
        <f t="shared" si="1"/>
        <v>0.3558409545138687</v>
      </c>
      <c r="E12" s="101">
        <f>+'CM'!C12</f>
        <v>123595.23999999999</v>
      </c>
      <c r="F12" s="101">
        <f>+'CM'!E12</f>
        <v>0</v>
      </c>
      <c r="G12" s="101">
        <f>+'CM'!G12</f>
        <v>22424.379999999997</v>
      </c>
      <c r="H12" s="101">
        <f>+'CM'!I12</f>
        <v>0</v>
      </c>
      <c r="I12" s="101">
        <f>+'CM'!K12</f>
        <v>0</v>
      </c>
      <c r="J12" s="101">
        <v>0</v>
      </c>
      <c r="K12" s="101">
        <f>+'CM'!M12</f>
        <v>19383.44</v>
      </c>
      <c r="L12" s="103">
        <f t="shared" si="2"/>
        <v>299419.94</v>
      </c>
    </row>
    <row r="13" spans="1:12" ht="16.5">
      <c r="A13" s="157" t="s">
        <v>20</v>
      </c>
      <c r="B13" s="101">
        <f>+SSP!P13+SSP!Q13</f>
        <v>23893042</v>
      </c>
      <c r="C13" s="101">
        <f t="shared" si="0"/>
        <v>12267032.83</v>
      </c>
      <c r="D13" s="102">
        <f t="shared" si="1"/>
        <v>0.5134144421627016</v>
      </c>
      <c r="E13" s="101">
        <f>+SSP!C13</f>
        <v>6546911.470000001</v>
      </c>
      <c r="F13" s="101">
        <f>+SSP!E13</f>
        <v>1703782.56</v>
      </c>
      <c r="G13" s="101">
        <f>+SSP!G13</f>
        <v>2284731.7199999997</v>
      </c>
      <c r="H13" s="101">
        <f>+SSP!I13</f>
        <v>104644.79999999999</v>
      </c>
      <c r="I13" s="101">
        <f>+SSP!K13</f>
        <v>131217.57</v>
      </c>
      <c r="J13" s="101">
        <f>+SSP!M13</f>
        <v>419259.85</v>
      </c>
      <c r="K13" s="101">
        <f>+SSP!O13</f>
        <v>1076484.86</v>
      </c>
      <c r="L13" s="103">
        <f t="shared" si="2"/>
        <v>11626009.17</v>
      </c>
    </row>
    <row r="14" spans="1:12" ht="16.5">
      <c r="A14" s="157" t="s">
        <v>129</v>
      </c>
      <c r="B14" s="101">
        <f>+CULTURA!P16+CULTURA!Q16</f>
        <v>3146536</v>
      </c>
      <c r="C14" s="101">
        <f t="shared" si="0"/>
        <v>1544826.17</v>
      </c>
      <c r="D14" s="102">
        <f t="shared" si="1"/>
        <v>0.4909609074868363</v>
      </c>
      <c r="E14" s="101">
        <f>+CULTURA!C16</f>
        <v>647252.1699999999</v>
      </c>
      <c r="F14" s="101">
        <f>+CULTURA!E16</f>
        <v>22333.300000000003</v>
      </c>
      <c r="G14" s="101">
        <f>+CULTURA!G16</f>
        <v>567813.1499999999</v>
      </c>
      <c r="H14" s="101">
        <f>+CULTURA!I16</f>
        <v>160467.7</v>
      </c>
      <c r="I14" s="101">
        <f>+CULTURA!K16</f>
        <v>737</v>
      </c>
      <c r="J14" s="101">
        <f>+CULTURA!M16</f>
        <v>22217.76</v>
      </c>
      <c r="K14" s="101">
        <f>+CULTURA!O16</f>
        <v>124005.09</v>
      </c>
      <c r="L14" s="103">
        <f t="shared" si="2"/>
        <v>1601709.83</v>
      </c>
    </row>
    <row r="15" spans="1:12" ht="16.5">
      <c r="A15" s="157" t="s">
        <v>130</v>
      </c>
      <c r="B15" s="101">
        <f>+DEPORTES!P12+DEPORTES!Q12</f>
        <v>4560083</v>
      </c>
      <c r="C15" s="101">
        <f t="shared" si="0"/>
        <v>2151598.1799999997</v>
      </c>
      <c r="D15" s="102">
        <f t="shared" si="1"/>
        <v>0.47183311794982674</v>
      </c>
      <c r="E15" s="101">
        <f>+DEPORTES!C12</f>
        <v>573174.45</v>
      </c>
      <c r="F15" s="101">
        <f>+DEPORTES!E12</f>
        <v>13874.740000000002</v>
      </c>
      <c r="G15" s="101">
        <f>+DEPORTES!G12</f>
        <v>518097.7</v>
      </c>
      <c r="H15" s="101">
        <f>+DEPORTES!I12</f>
        <v>867206.26</v>
      </c>
      <c r="I15" s="101">
        <f>+DEPORTES!K12</f>
        <v>2898.3900000000003</v>
      </c>
      <c r="J15" s="101">
        <f>+DEPORTES!M12</f>
        <v>12239.87</v>
      </c>
      <c r="K15" s="101">
        <f>+DEPORTES!O12</f>
        <v>164106.77</v>
      </c>
      <c r="L15" s="103">
        <f t="shared" si="2"/>
        <v>2408484.8200000003</v>
      </c>
    </row>
    <row r="16" spans="1:12" ht="17.25">
      <c r="A16" s="16" t="s">
        <v>11</v>
      </c>
      <c r="B16" s="11">
        <f>SUM(B5:B15)</f>
        <v>105244300</v>
      </c>
      <c r="C16" s="11">
        <f>SUM(C5:C15)</f>
        <v>53429697.5</v>
      </c>
      <c r="D16" s="12">
        <f>+C16/B16</f>
        <v>0.5076730758815442</v>
      </c>
      <c r="E16" s="11">
        <f aca="true" t="shared" si="3" ref="E16:L16">SUM(E5:E15)</f>
        <v>21515874.779999997</v>
      </c>
      <c r="F16" s="11">
        <f t="shared" si="3"/>
        <v>2543478.08</v>
      </c>
      <c r="G16" s="11">
        <f t="shared" si="3"/>
        <v>8752327.879999999</v>
      </c>
      <c r="H16" s="11">
        <f t="shared" si="3"/>
        <v>5153305.53</v>
      </c>
      <c r="I16" s="11">
        <f t="shared" si="3"/>
        <v>482063.9</v>
      </c>
      <c r="J16" s="11">
        <f t="shared" si="3"/>
        <v>11775733.089999998</v>
      </c>
      <c r="K16" s="11">
        <f t="shared" si="3"/>
        <v>3206914.2399999998</v>
      </c>
      <c r="L16" s="19">
        <f t="shared" si="3"/>
        <v>51814602.5</v>
      </c>
    </row>
    <row r="17" spans="1:12" ht="18" thickBot="1">
      <c r="A17" s="15" t="s">
        <v>52</v>
      </c>
      <c r="B17" s="6"/>
      <c r="C17" s="7"/>
      <c r="D17" s="8"/>
      <c r="E17" s="13">
        <f>+E16/40231770</f>
        <v>0.5347981155191531</v>
      </c>
      <c r="F17" s="14">
        <f>+F16/3050811</f>
        <v>0.8337055556702792</v>
      </c>
      <c r="G17" s="14">
        <f>+G16/12881883</f>
        <v>0.679429232512048</v>
      </c>
      <c r="H17" s="14">
        <f>+H16/8166216</f>
        <v>0.6310518274314566</v>
      </c>
      <c r="I17" s="14">
        <f>+I16/(116720)</f>
        <v>4.1300882453735435</v>
      </c>
      <c r="J17" s="14">
        <f>+J16/6723600</f>
        <v>1.7514029820334343</v>
      </c>
      <c r="K17" s="14">
        <f>+K16/2500000</f>
        <v>1.282765696</v>
      </c>
      <c r="L17" s="9"/>
    </row>
    <row r="18" spans="2:12" ht="17.25" thickTop="1">
      <c r="B18" s="5"/>
      <c r="C18" s="52"/>
      <c r="D18" s="5"/>
      <c r="L18" s="5"/>
    </row>
    <row r="19" spans="8:11" ht="16.5">
      <c r="H19" s="5"/>
      <c r="I19" s="5"/>
      <c r="J19" s="5"/>
      <c r="K19" s="128" t="s">
        <v>53</v>
      </c>
    </row>
    <row r="20" ht="16.5">
      <c r="K20" s="128"/>
    </row>
    <row r="21" ht="16.5">
      <c r="K21" s="129" t="s">
        <v>54</v>
      </c>
    </row>
    <row r="22" ht="16.5">
      <c r="K22" s="128"/>
    </row>
    <row r="23" ht="16.5">
      <c r="K23" s="151" t="s">
        <v>55</v>
      </c>
    </row>
    <row r="24" ht="16.5">
      <c r="K24" s="128"/>
    </row>
    <row r="25" ht="16.5">
      <c r="K25" s="130" t="s">
        <v>56</v>
      </c>
    </row>
    <row r="26" ht="16.5">
      <c r="K26" s="128"/>
    </row>
    <row r="27" ht="16.5">
      <c r="K27" s="135" t="s">
        <v>57</v>
      </c>
    </row>
    <row r="28" ht="16.5">
      <c r="K28" s="128"/>
    </row>
    <row r="29" ht="16.5">
      <c r="K29" s="131" t="s">
        <v>58</v>
      </c>
    </row>
    <row r="30" ht="16.5">
      <c r="K30" s="128"/>
    </row>
    <row r="31" ht="16.5">
      <c r="K31" s="132" t="s">
        <v>59</v>
      </c>
    </row>
    <row r="32" ht="16.5">
      <c r="K32" s="128"/>
    </row>
    <row r="33" ht="16.5">
      <c r="K33" s="133" t="s">
        <v>60</v>
      </c>
    </row>
    <row r="34" ht="16.5">
      <c r="K34" s="128"/>
    </row>
    <row r="35" ht="16.5">
      <c r="K35" s="134" t="s">
        <v>61</v>
      </c>
    </row>
    <row r="60" spans="5:13" ht="16.5">
      <c r="E60" s="1" t="s">
        <v>61</v>
      </c>
      <c r="F60" s="1" t="s">
        <v>60</v>
      </c>
      <c r="G60" s="1" t="s">
        <v>59</v>
      </c>
      <c r="H60" s="1" t="s">
        <v>62</v>
      </c>
      <c r="I60" s="1" t="s">
        <v>63</v>
      </c>
      <c r="J60" s="1" t="s">
        <v>64</v>
      </c>
      <c r="K60" s="1" t="s">
        <v>55</v>
      </c>
      <c r="L60" s="1" t="s">
        <v>65</v>
      </c>
      <c r="M60" s="1" t="s">
        <v>66</v>
      </c>
    </row>
    <row r="61" spans="1:13" ht="16.5">
      <c r="A61" s="1" t="s">
        <v>67</v>
      </c>
      <c r="E61" s="10">
        <f>+E5/B5</f>
        <v>0.1261179852971447</v>
      </c>
      <c r="F61" s="10">
        <f aca="true" t="shared" si="4" ref="F61:L61">+F5/$B$5</f>
        <v>0.0020433991658143358</v>
      </c>
      <c r="G61" s="10">
        <f t="shared" si="4"/>
        <v>0.09258565019261528</v>
      </c>
      <c r="H61" s="10">
        <f t="shared" si="4"/>
        <v>0.16683663720779607</v>
      </c>
      <c r="I61" s="10">
        <f t="shared" si="4"/>
        <v>0.0015609430772215997</v>
      </c>
      <c r="J61" s="10">
        <f t="shared" si="4"/>
        <v>0.002386911973873579</v>
      </c>
      <c r="K61" s="10">
        <f t="shared" si="4"/>
        <v>0.016811664910305908</v>
      </c>
      <c r="L61" s="10">
        <f t="shared" si="4"/>
        <v>0.5916568081752285</v>
      </c>
      <c r="M61" s="10">
        <f>SUM(E61:L61)</f>
        <v>1</v>
      </c>
    </row>
    <row r="62" spans="1:13" ht="16.5">
      <c r="A62" s="1" t="s">
        <v>97</v>
      </c>
      <c r="E62" s="10">
        <f>+E6/B6</f>
        <v>0.2107064459719589</v>
      </c>
      <c r="F62" s="10">
        <f>+F6/B6</f>
        <v>0.005204612496526068</v>
      </c>
      <c r="G62" s="10">
        <f>+G6/B6</f>
        <v>0.0971565463312717</v>
      </c>
      <c r="H62" s="10">
        <f>+H6/B6</f>
        <v>0.05692905613636464</v>
      </c>
      <c r="I62" s="10">
        <f>+I6/B6</f>
        <v>0.013282252091826983</v>
      </c>
      <c r="J62" s="10">
        <f>+J6/B6</f>
        <v>0.015990815530008813</v>
      </c>
      <c r="K62" s="10">
        <f>+K6/B6</f>
        <v>0.02191533587745772</v>
      </c>
      <c r="L62" s="10">
        <f>+L6/B6</f>
        <v>0.5788149355645853</v>
      </c>
      <c r="M62" s="10">
        <f>SUM(E62:L62)</f>
        <v>1</v>
      </c>
    </row>
    <row r="63" spans="1:13" ht="16.5">
      <c r="A63" s="1" t="s">
        <v>98</v>
      </c>
      <c r="E63" s="10">
        <f>+E7/B7</f>
        <v>0.25529672894371574</v>
      </c>
      <c r="F63" s="10">
        <f>+F7/B7</f>
        <v>0.060713138225573296</v>
      </c>
      <c r="G63" s="10">
        <f>+G7/B7</f>
        <v>0.12196570943505065</v>
      </c>
      <c r="H63" s="10">
        <f>+H7/B7</f>
        <v>0.00010284262211841753</v>
      </c>
      <c r="I63" s="10">
        <f>+I7/B7</f>
        <v>0.01905081855565528</v>
      </c>
      <c r="J63" s="10">
        <f>+J7/B7</f>
        <v>0.00026734677664026323</v>
      </c>
      <c r="K63" s="10">
        <f>+K7/B7</f>
        <v>0.03651792031539019</v>
      </c>
      <c r="L63" s="10">
        <f>+L7/B7</f>
        <v>0.5060854951258562</v>
      </c>
      <c r="M63" s="10">
        <f>SUM(E63:L63)</f>
        <v>1</v>
      </c>
    </row>
    <row r="64" spans="1:13" ht="16.5">
      <c r="A64" s="1" t="s">
        <v>68</v>
      </c>
      <c r="E64" s="10">
        <f aca="true" t="shared" si="5" ref="E64:L64">+E8/$B$8</f>
        <v>0.2271199612745668</v>
      </c>
      <c r="F64" s="10">
        <f t="shared" si="5"/>
        <v>0.002370951628040521</v>
      </c>
      <c r="G64" s="10">
        <f t="shared" si="5"/>
        <v>0.07825988424689352</v>
      </c>
      <c r="H64" s="10">
        <f t="shared" si="5"/>
        <v>0.15823107064950065</v>
      </c>
      <c r="I64" s="10">
        <f t="shared" si="5"/>
        <v>0.0017546110968419046</v>
      </c>
      <c r="J64" s="10">
        <f t="shared" si="5"/>
        <v>0.0007193581265953163</v>
      </c>
      <c r="K64" s="10">
        <f t="shared" si="5"/>
        <v>0.0215704309050833</v>
      </c>
      <c r="L64" s="10">
        <f t="shared" si="5"/>
        <v>0.509973732072478</v>
      </c>
      <c r="M64" s="10">
        <f aca="true" t="shared" si="6" ref="M64:M71">SUM(E64:L64)</f>
        <v>1</v>
      </c>
    </row>
    <row r="65" spans="1:13" ht="16.5">
      <c r="A65" s="1" t="s">
        <v>69</v>
      </c>
      <c r="E65" s="10">
        <f>+E9/$B$9</f>
        <v>0.0692663190170752</v>
      </c>
      <c r="F65" s="10">
        <f aca="true" t="shared" si="7" ref="F65:L65">+F9/$B$9</f>
        <v>0.008514942122706964</v>
      </c>
      <c r="G65" s="10">
        <f t="shared" si="7"/>
        <v>0.02832780208322285</v>
      </c>
      <c r="H65" s="10">
        <f t="shared" si="7"/>
        <v>0.0004902541749540113</v>
      </c>
      <c r="I65" s="10">
        <f t="shared" si="7"/>
        <v>0.0013332695401866849</v>
      </c>
      <c r="J65" s="10">
        <f t="shared" si="7"/>
        <v>0.5139502058366578</v>
      </c>
      <c r="K65" s="10">
        <f t="shared" si="7"/>
        <v>0.014787203586681282</v>
      </c>
      <c r="L65" s="10">
        <f t="shared" si="7"/>
        <v>0.36333000363851514</v>
      </c>
      <c r="M65" s="10">
        <f t="shared" si="6"/>
        <v>1</v>
      </c>
    </row>
    <row r="66" spans="1:13" ht="16.5">
      <c r="A66" s="1" t="s">
        <v>72</v>
      </c>
      <c r="E66" s="10">
        <f>+E10/$B$10</f>
        <v>0.30245279412609305</v>
      </c>
      <c r="F66" s="10">
        <f aca="true" t="shared" si="8" ref="F66:L66">+F10/$B$10</f>
        <v>0.006877660454523027</v>
      </c>
      <c r="G66" s="10">
        <f t="shared" si="8"/>
        <v>0.09632781360113771</v>
      </c>
      <c r="H66" s="10">
        <f t="shared" si="8"/>
        <v>0</v>
      </c>
      <c r="I66" s="10">
        <f t="shared" si="8"/>
        <v>0.002300723794605634</v>
      </c>
      <c r="J66" s="10">
        <f t="shared" si="8"/>
        <v>0.0007247572681800417</v>
      </c>
      <c r="K66" s="10">
        <f t="shared" si="8"/>
        <v>0.0443626356813324</v>
      </c>
      <c r="L66" s="10">
        <f t="shared" si="8"/>
        <v>0.5469536150741282</v>
      </c>
      <c r="M66" s="10">
        <f t="shared" si="6"/>
        <v>1</v>
      </c>
    </row>
    <row r="67" spans="1:13" ht="16.5">
      <c r="A67" s="1" t="s">
        <v>70</v>
      </c>
      <c r="E67" s="10">
        <f>+E11/$B$11</f>
        <v>0.23161852331808458</v>
      </c>
      <c r="F67" s="10">
        <f aca="true" t="shared" si="9" ref="F67:L67">+F11/$B$11</f>
        <v>0.008907917375759184</v>
      </c>
      <c r="G67" s="10">
        <f t="shared" si="9"/>
        <v>0.03315506565285953</v>
      </c>
      <c r="H67" s="10">
        <f t="shared" si="9"/>
        <v>0.05521705569173601</v>
      </c>
      <c r="I67" s="10">
        <f t="shared" si="9"/>
        <v>0.0020056082062171153</v>
      </c>
      <c r="J67" s="10">
        <f t="shared" si="9"/>
        <v>0</v>
      </c>
      <c r="K67" s="10">
        <f t="shared" si="9"/>
        <v>0.03403946978094897</v>
      </c>
      <c r="L67" s="10">
        <f t="shared" si="9"/>
        <v>0.6350563599743946</v>
      </c>
      <c r="M67" s="10">
        <f t="shared" si="6"/>
        <v>1</v>
      </c>
    </row>
    <row r="68" spans="1:13" ht="16.5">
      <c r="A68" s="1" t="s">
        <v>101</v>
      </c>
      <c r="E68" s="10">
        <f>+E12/$B$12</f>
        <v>0.2658974276229877</v>
      </c>
      <c r="F68" s="10">
        <f aca="true" t="shared" si="10" ref="F68:L68">+F12/$B$12</f>
        <v>0</v>
      </c>
      <c r="G68" s="10">
        <f t="shared" si="10"/>
        <v>0.04824283652056804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0.041700690370313</v>
      </c>
      <c r="L68" s="10">
        <f t="shared" si="10"/>
        <v>0.6441590454861312</v>
      </c>
      <c r="M68" s="10">
        <f t="shared" si="6"/>
        <v>1</v>
      </c>
    </row>
    <row r="69" spans="1:13" ht="16.5">
      <c r="A69" s="1" t="s">
        <v>73</v>
      </c>
      <c r="E69" s="10">
        <f>+E13/$B$13</f>
        <v>0.27400912240475706</v>
      </c>
      <c r="F69" s="10">
        <f aca="true" t="shared" si="11" ref="F69:L69">+F13/$B$13</f>
        <v>0.07130873331240116</v>
      </c>
      <c r="G69" s="10">
        <f t="shared" si="11"/>
        <v>0.09562330824178854</v>
      </c>
      <c r="H69" s="10">
        <f t="shared" si="11"/>
        <v>0.004379718580832026</v>
      </c>
      <c r="I69" s="10">
        <f t="shared" si="11"/>
        <v>0.005491873742991788</v>
      </c>
      <c r="J69" s="10">
        <f t="shared" si="11"/>
        <v>0.017547361696346575</v>
      </c>
      <c r="K69" s="10">
        <f t="shared" si="11"/>
        <v>0.045054324183584495</v>
      </c>
      <c r="L69" s="10">
        <f t="shared" si="11"/>
        <v>0.4865855578372984</v>
      </c>
      <c r="M69" s="10">
        <f t="shared" si="6"/>
        <v>1</v>
      </c>
    </row>
    <row r="70" spans="1:13" ht="16.5">
      <c r="A70" s="1" t="s">
        <v>74</v>
      </c>
      <c r="E70" s="10">
        <f>+E14/$B$14</f>
        <v>0.2057030874587165</v>
      </c>
      <c r="F70" s="10">
        <f aca="true" t="shared" si="12" ref="F70:L70">+F14/$B$14</f>
        <v>0.0070977417706328495</v>
      </c>
      <c r="G70" s="10">
        <f t="shared" si="12"/>
        <v>0.1804565878159347</v>
      </c>
      <c r="H70" s="10">
        <f t="shared" si="12"/>
        <v>0.05099820882392574</v>
      </c>
      <c r="I70" s="10">
        <f t="shared" si="12"/>
        <v>0.00023422582802167208</v>
      </c>
      <c r="J70" s="10">
        <f t="shared" si="12"/>
        <v>0.007061022025490888</v>
      </c>
      <c r="K70" s="10">
        <f t="shared" si="12"/>
        <v>0.039410033764113936</v>
      </c>
      <c r="L70" s="10">
        <f t="shared" si="12"/>
        <v>0.5090390925131637</v>
      </c>
      <c r="M70" s="10">
        <f t="shared" si="6"/>
        <v>1</v>
      </c>
    </row>
    <row r="71" spans="1:13" ht="16.5">
      <c r="A71" s="1" t="s">
        <v>71</v>
      </c>
      <c r="E71" s="10">
        <f>+E15/$B$15</f>
        <v>0.12569386346695882</v>
      </c>
      <c r="F71" s="10">
        <f aca="true" t="shared" si="13" ref="F71:L71">+F15/$B$15</f>
        <v>0.003042650758769084</v>
      </c>
      <c r="G71" s="10">
        <f t="shared" si="13"/>
        <v>0.11361584865889503</v>
      </c>
      <c r="H71" s="10">
        <f t="shared" si="13"/>
        <v>0.19017334991490287</v>
      </c>
      <c r="I71" s="10">
        <f t="shared" si="13"/>
        <v>0.0006356002730652053</v>
      </c>
      <c r="J71" s="10">
        <f t="shared" si="13"/>
        <v>0.002684133161611313</v>
      </c>
      <c r="K71" s="10">
        <f t="shared" si="13"/>
        <v>0.035987671715624475</v>
      </c>
      <c r="L71" s="10">
        <f t="shared" si="13"/>
        <v>0.5281668820501733</v>
      </c>
      <c r="M71" s="10">
        <f t="shared" si="6"/>
        <v>1</v>
      </c>
    </row>
  </sheetData>
  <mergeCells count="1">
    <mergeCell ref="E3:K3"/>
  </mergeCells>
  <printOptions horizontalCentered="1"/>
  <pageMargins left="0.84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7">
      <selection activeCell="O8" sqref="O8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4" width="13.140625" style="1" customWidth="1"/>
    <col min="5" max="5" width="7.7109375" style="1" customWidth="1"/>
    <col min="6" max="6" width="12.7109375" style="1" customWidth="1"/>
    <col min="7" max="7" width="12.00390625" style="1" customWidth="1"/>
    <col min="8" max="8" width="12.7109375" style="1" customWidth="1"/>
    <col min="9" max="9" width="12.00390625" style="1" customWidth="1"/>
    <col min="10" max="10" width="12.7109375" style="1" customWidth="1"/>
    <col min="11" max="11" width="12.8515625" style="1" customWidth="1"/>
    <col min="12" max="12" width="12.140625" style="1" customWidth="1"/>
    <col min="13" max="13" width="13.00390625" style="1" customWidth="1"/>
    <col min="14" max="14" width="11.421875" style="1" customWidth="1"/>
    <col min="15" max="15" width="12.28125" style="1" bestFit="1" customWidth="1"/>
    <col min="16" max="16384" width="11.421875" style="1" customWidth="1"/>
  </cols>
  <sheetData>
    <row r="1" ht="16.5">
      <c r="A1" s="17" t="s">
        <v>42</v>
      </c>
    </row>
    <row r="2" spans="1:4" ht="18.75" thickBot="1">
      <c r="A2" s="18" t="s">
        <v>43</v>
      </c>
      <c r="C2" s="150">
        <v>40664</v>
      </c>
      <c r="D2" s="150"/>
    </row>
    <row r="3" spans="1:13" ht="18" thickTop="1">
      <c r="A3" s="2" t="s">
        <v>44</v>
      </c>
      <c r="B3" s="153" t="s">
        <v>45</v>
      </c>
      <c r="C3" s="153" t="s">
        <v>26</v>
      </c>
      <c r="D3" s="153" t="s">
        <v>140</v>
      </c>
      <c r="E3" s="153" t="s">
        <v>46</v>
      </c>
      <c r="F3" s="186" t="s">
        <v>141</v>
      </c>
      <c r="G3" s="187"/>
      <c r="H3" s="187"/>
      <c r="I3" s="187"/>
      <c r="J3" s="187"/>
      <c r="K3" s="187"/>
      <c r="L3" s="188"/>
      <c r="M3" s="155" t="s">
        <v>25</v>
      </c>
    </row>
    <row r="4" spans="1:13" ht="17.25">
      <c r="A4" s="3"/>
      <c r="B4" s="154" t="s">
        <v>48</v>
      </c>
      <c r="C4" s="154" t="s">
        <v>48</v>
      </c>
      <c r="D4" s="154" t="s">
        <v>48</v>
      </c>
      <c r="E4" s="154" t="s">
        <v>5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50</v>
      </c>
      <c r="K4" s="4" t="s">
        <v>30</v>
      </c>
      <c r="L4" s="4" t="s">
        <v>36</v>
      </c>
      <c r="M4" s="156" t="s">
        <v>51</v>
      </c>
    </row>
    <row r="5" spans="1:13" ht="16.5">
      <c r="A5" s="157" t="s">
        <v>16</v>
      </c>
      <c r="B5" s="101">
        <f>+INT!P12+INT!Q12</f>
        <v>5931773</v>
      </c>
      <c r="C5" s="101">
        <f>SUM(F5:L5)-D5</f>
        <v>2422199.12</v>
      </c>
      <c r="D5" s="101">
        <v>1603504.5</v>
      </c>
      <c r="E5" s="102">
        <f>(C5+D5)/B5</f>
        <v>0.6786678485505093</v>
      </c>
      <c r="F5" s="101">
        <f>+INT!C12</f>
        <v>748103.26</v>
      </c>
      <c r="G5" s="101">
        <f>+INT!E$12+2602.7</f>
        <v>14723.68</v>
      </c>
      <c r="H5" s="101">
        <f>+INT!G$12+341532.81</f>
        <v>890729.8700000001</v>
      </c>
      <c r="I5" s="101">
        <f>+INT!I$12+258219.79</f>
        <v>1247856.85</v>
      </c>
      <c r="J5" s="101">
        <f>+INT!K$12+1000000</f>
        <v>1009259.16</v>
      </c>
      <c r="K5" s="101">
        <f>+INT!M12+1149.2</f>
        <v>15307.820000000002</v>
      </c>
      <c r="L5" s="101">
        <f>+INT!O$12</f>
        <v>99722.98000000001</v>
      </c>
      <c r="M5" s="103">
        <f>+B5-C5-D5</f>
        <v>1906069.38</v>
      </c>
    </row>
    <row r="6" spans="1:13" ht="16.5">
      <c r="A6" s="157" t="s">
        <v>17</v>
      </c>
      <c r="B6" s="101">
        <f>+GOB!P17+GOB!Q17</f>
        <v>8804863</v>
      </c>
      <c r="C6" s="101">
        <f aca="true" t="shared" si="0" ref="C6:C15">SUM(F6:L6)-D6</f>
        <v>3708476.790000001</v>
      </c>
      <c r="D6" s="101">
        <v>1066478.09</v>
      </c>
      <c r="E6" s="102">
        <f aca="true" t="shared" si="1" ref="E6:E15">(C6+D6)/B6</f>
        <v>0.5423088218408396</v>
      </c>
      <c r="F6" s="101">
        <f>+GOB!C17</f>
        <v>1855241.39</v>
      </c>
      <c r="G6" s="101">
        <f>+GOB!E17+27900.56</f>
        <v>73726.46</v>
      </c>
      <c r="H6" s="101">
        <f>+GOB!G17+941825.11</f>
        <v>1797275.19</v>
      </c>
      <c r="I6" s="101">
        <f>+GOB!I17+73284.42</f>
        <v>574536.96</v>
      </c>
      <c r="J6" s="101">
        <f>+GOB!K17+20430</f>
        <v>137378.41</v>
      </c>
      <c r="K6" s="101">
        <f>+GOB!M17+3038</f>
        <v>143834.94</v>
      </c>
      <c r="L6" s="101">
        <f>+GOB!O17</f>
        <v>192961.53</v>
      </c>
      <c r="M6" s="103">
        <f aca="true" t="shared" si="2" ref="M6:M15">+B6-C6-D6</f>
        <v>4029908.119999999</v>
      </c>
    </row>
    <row r="7" spans="1:13" ht="16.5">
      <c r="A7" s="157" t="s">
        <v>18</v>
      </c>
      <c r="B7" s="101">
        <f>+SEH!P14+SEH!Q14</f>
        <v>6948092</v>
      </c>
      <c r="C7" s="101">
        <f t="shared" si="0"/>
        <v>3431763.4199999995</v>
      </c>
      <c r="D7" s="101">
        <v>331437.95</v>
      </c>
      <c r="E7" s="102">
        <f t="shared" si="1"/>
        <v>0.5416165142891026</v>
      </c>
      <c r="F7" s="101">
        <f>+SEH!C14</f>
        <v>1773825.16</v>
      </c>
      <c r="G7" s="101">
        <f>+SEH!E14+202907.45</f>
        <v>624747.92</v>
      </c>
      <c r="H7" s="101">
        <f>+SEH!G14+107896.5</f>
        <v>955325.47</v>
      </c>
      <c r="I7" s="101">
        <f>+SEH!I14+3580</f>
        <v>4294.5599999999995</v>
      </c>
      <c r="J7" s="101">
        <f>+SEH!K14+17054</f>
        <v>149420.84</v>
      </c>
      <c r="K7" s="101">
        <f>+SEH!M14</f>
        <v>1857.55</v>
      </c>
      <c r="L7" s="101">
        <f>+SEH!O14</f>
        <v>253729.87000000002</v>
      </c>
      <c r="M7" s="103">
        <f t="shared" si="2"/>
        <v>3184890.6300000004</v>
      </c>
    </row>
    <row r="8" spans="1:13" ht="16.5">
      <c r="A8" s="157" t="s">
        <v>21</v>
      </c>
      <c r="B8" s="101">
        <f>+SAS!P13+SAS!Q13</f>
        <v>15359415</v>
      </c>
      <c r="C8" s="101">
        <f t="shared" si="0"/>
        <v>7526516.8100000005</v>
      </c>
      <c r="D8" s="101">
        <v>2962943.44</v>
      </c>
      <c r="E8" s="102">
        <f t="shared" si="1"/>
        <v>0.6829335785249634</v>
      </c>
      <c r="F8" s="101">
        <f>+SAS!C13</f>
        <v>3488429.74</v>
      </c>
      <c r="G8" s="101">
        <f>+SAS!E13+70563.22</f>
        <v>106979.65</v>
      </c>
      <c r="H8" s="101">
        <f>+SAS!G13+561974.32</f>
        <v>1764000.3599999999</v>
      </c>
      <c r="I8" s="101">
        <f>+SAS!I13+2286383.9</f>
        <v>4716720.58</v>
      </c>
      <c r="J8" s="101">
        <f>+SAS!K13+11552</f>
        <v>38501.8</v>
      </c>
      <c r="K8" s="101">
        <f>+SAS!M13+32470</f>
        <v>43518.92</v>
      </c>
      <c r="L8" s="101">
        <f>+SAS!O13</f>
        <v>331309.2</v>
      </c>
      <c r="M8" s="103">
        <f t="shared" si="2"/>
        <v>4869954.75</v>
      </c>
    </row>
    <row r="9" spans="1:13" ht="16.5">
      <c r="A9" s="157" t="s">
        <v>19</v>
      </c>
      <c r="B9" s="101">
        <f>+SOP!P12+SOP!Q12</f>
        <v>21684670</v>
      </c>
      <c r="C9" s="101">
        <f t="shared" si="0"/>
        <v>13805978.770000001</v>
      </c>
      <c r="D9" s="101">
        <v>5924114.83</v>
      </c>
      <c r="E9" s="102">
        <f t="shared" si="1"/>
        <v>0.9098636778885729</v>
      </c>
      <c r="F9" s="101">
        <f>+SOP!C12</f>
        <v>1502017.27</v>
      </c>
      <c r="G9" s="101">
        <f>+SOP!E12+107769.63</f>
        <v>292413.34</v>
      </c>
      <c r="H9" s="101">
        <f>+SOP!G12+573272.5</f>
        <v>1187551.54</v>
      </c>
      <c r="I9" s="101">
        <f>+SOP!I12</f>
        <v>10631</v>
      </c>
      <c r="J9" s="101">
        <f>+SOP!K12+75950.42</f>
        <v>104861.93</v>
      </c>
      <c r="K9" s="101">
        <f>+SOP!M12+5167122.28</f>
        <v>16311962.89</v>
      </c>
      <c r="L9" s="101">
        <f>+SOP!O12</f>
        <v>320655.63</v>
      </c>
      <c r="M9" s="103">
        <f t="shared" si="2"/>
        <v>1954576.3999999985</v>
      </c>
    </row>
    <row r="10" spans="1:13" ht="16.5">
      <c r="A10" s="157" t="s">
        <v>87</v>
      </c>
      <c r="B10" s="101">
        <f>+SFOI!P13+SFOI!Q13</f>
        <v>12849778</v>
      </c>
      <c r="C10" s="101">
        <f t="shared" si="0"/>
        <v>5821545.47</v>
      </c>
      <c r="D10" s="101">
        <v>702912.97</v>
      </c>
      <c r="E10" s="102">
        <f t="shared" si="1"/>
        <v>0.5077487284216116</v>
      </c>
      <c r="F10" s="101">
        <f>+SFOI!C13</f>
        <v>3886451.26</v>
      </c>
      <c r="G10" s="101">
        <f>+SFOI!E13+184620.96</f>
        <v>272997.37</v>
      </c>
      <c r="H10" s="101">
        <f>+SFOI!G13+489301.82</f>
        <v>1727092.84</v>
      </c>
      <c r="I10" s="101">
        <f>+SFOI!I13</f>
        <v>0</v>
      </c>
      <c r="J10" s="101">
        <f>+SFOI!K13+27290.19</f>
        <v>56853.979999999996</v>
      </c>
      <c r="K10" s="101">
        <f>+SFOI!M13+1700</f>
        <v>11012.97</v>
      </c>
      <c r="L10" s="101">
        <f>+SFOI!O13</f>
        <v>570050.02</v>
      </c>
      <c r="M10" s="103">
        <f t="shared" si="2"/>
        <v>6325319.5600000005</v>
      </c>
    </row>
    <row r="11" spans="1:13" ht="16.5">
      <c r="A11" s="157" t="s">
        <v>22</v>
      </c>
      <c r="B11" s="101">
        <f>+'CD'!P12+'CD'!Q12</f>
        <v>1601225</v>
      </c>
      <c r="C11" s="101">
        <f t="shared" si="0"/>
        <v>584356.8800000001</v>
      </c>
      <c r="D11" s="101">
        <v>27302</v>
      </c>
      <c r="E11" s="102">
        <f t="shared" si="1"/>
        <v>0.38199433558681645</v>
      </c>
      <c r="F11" s="101">
        <f>+'CD'!C12</f>
        <v>370873.37</v>
      </c>
      <c r="G11" s="101">
        <f>+'CD'!E12+1750</f>
        <v>16013.58</v>
      </c>
      <c r="H11" s="101">
        <f>+'CD'!G12+8052</f>
        <v>61140.72</v>
      </c>
      <c r="I11" s="101">
        <f>+'CD'!I12+17500</f>
        <v>105914.93</v>
      </c>
      <c r="J11" s="101">
        <f>+'CD'!K12</f>
        <v>3211.4300000000003</v>
      </c>
      <c r="K11" s="101">
        <f>+'CD'!M12</f>
        <v>0</v>
      </c>
      <c r="L11" s="101">
        <f>+'CD'!O12</f>
        <v>54504.850000000006</v>
      </c>
      <c r="M11" s="103">
        <f t="shared" si="2"/>
        <v>989566.1199999999</v>
      </c>
    </row>
    <row r="12" spans="1:13" ht="16.5">
      <c r="A12" s="157" t="s">
        <v>23</v>
      </c>
      <c r="B12" s="101">
        <f>+'CM'!N12+'CM'!O12</f>
        <v>464823</v>
      </c>
      <c r="C12" s="101">
        <f t="shared" si="0"/>
        <v>165403.06</v>
      </c>
      <c r="D12" s="101">
        <v>7200</v>
      </c>
      <c r="E12" s="102">
        <f t="shared" si="1"/>
        <v>0.3713307215864964</v>
      </c>
      <c r="F12" s="101">
        <f>+'CM'!C12</f>
        <v>123595.23999999999</v>
      </c>
      <c r="G12" s="101">
        <f>+'CM'!E12</f>
        <v>0</v>
      </c>
      <c r="H12" s="101">
        <f>+'CM'!G12</f>
        <v>22424.379999999997</v>
      </c>
      <c r="I12" s="101">
        <f>+'CM'!I12</f>
        <v>0</v>
      </c>
      <c r="J12" s="101">
        <f>+'CM'!K12+7200</f>
        <v>7200</v>
      </c>
      <c r="K12" s="101">
        <v>0</v>
      </c>
      <c r="L12" s="101">
        <f>+'CM'!M12</f>
        <v>19383.44</v>
      </c>
      <c r="M12" s="103">
        <f t="shared" si="2"/>
        <v>292219.94</v>
      </c>
    </row>
    <row r="13" spans="1:13" ht="16.5">
      <c r="A13" s="157" t="s">
        <v>20</v>
      </c>
      <c r="B13" s="101">
        <f>+SSP!P13+SSP!Q13</f>
        <v>23893042</v>
      </c>
      <c r="C13" s="101">
        <f t="shared" si="0"/>
        <v>12267032.830000002</v>
      </c>
      <c r="D13" s="101">
        <v>3783431.32</v>
      </c>
      <c r="E13" s="102">
        <f t="shared" si="1"/>
        <v>0.6717631078537426</v>
      </c>
      <c r="F13" s="101">
        <f>+SSP!C13</f>
        <v>6546911.470000001</v>
      </c>
      <c r="G13" s="101">
        <f>+SSP!E13+790562.09</f>
        <v>2494344.65</v>
      </c>
      <c r="H13" s="101">
        <f>+SSP!G13+2517814.42</f>
        <v>4802546.14</v>
      </c>
      <c r="I13" s="101">
        <f>+SSP!I13+13861</f>
        <v>118505.79999999999</v>
      </c>
      <c r="J13" s="101">
        <f>+SSP!K13+67684.93</f>
        <v>198902.5</v>
      </c>
      <c r="K13" s="101">
        <f>+SSP!M13+393508.88</f>
        <v>812768.73</v>
      </c>
      <c r="L13" s="101">
        <f>+SSP!O13</f>
        <v>1076484.86</v>
      </c>
      <c r="M13" s="103">
        <f t="shared" si="2"/>
        <v>7842577.849999998</v>
      </c>
    </row>
    <row r="14" spans="1:13" ht="16.5">
      <c r="A14" s="157" t="s">
        <v>129</v>
      </c>
      <c r="B14" s="101">
        <f>+CULTURA!P16+CULTURA!Q16</f>
        <v>3146536</v>
      </c>
      <c r="C14" s="101">
        <f t="shared" si="0"/>
        <v>1544826.17</v>
      </c>
      <c r="D14" s="101">
        <v>131081.92</v>
      </c>
      <c r="E14" s="102">
        <f t="shared" si="1"/>
        <v>0.5326200272299443</v>
      </c>
      <c r="F14" s="101">
        <f>+CULTURA!C16</f>
        <v>647252.1699999999</v>
      </c>
      <c r="G14" s="101">
        <f>+CULTURA!E16+6603.42</f>
        <v>28936.72</v>
      </c>
      <c r="H14" s="101">
        <f>+CULTURA!G16+79521.5</f>
        <v>647334.6499999999</v>
      </c>
      <c r="I14" s="101">
        <f>+CULTURA!I16+34446</f>
        <v>194913.7</v>
      </c>
      <c r="J14" s="101">
        <f>+CULTURA!K16</f>
        <v>737</v>
      </c>
      <c r="K14" s="101">
        <f>+CULTURA!M16+10511</f>
        <v>32728.76</v>
      </c>
      <c r="L14" s="101">
        <f>+CULTURA!O16</f>
        <v>124005.09</v>
      </c>
      <c r="M14" s="103">
        <f t="shared" si="2"/>
        <v>1470627.9100000001</v>
      </c>
    </row>
    <row r="15" spans="1:13" ht="16.5">
      <c r="A15" s="157" t="s">
        <v>130</v>
      </c>
      <c r="B15" s="101">
        <f>+DEPORTES!P12+DEPORTES!Q12</f>
        <v>4560083</v>
      </c>
      <c r="C15" s="101">
        <f t="shared" si="0"/>
        <v>2151598.1800000006</v>
      </c>
      <c r="D15" s="101">
        <v>575693.26</v>
      </c>
      <c r="E15" s="102">
        <f t="shared" si="1"/>
        <v>0.5980793419768895</v>
      </c>
      <c r="F15" s="101">
        <f>+DEPORTES!C12</f>
        <v>573174.45</v>
      </c>
      <c r="G15" s="101">
        <f>+DEPORTES!E12+19395.03</f>
        <v>33269.770000000004</v>
      </c>
      <c r="H15" s="101">
        <f>+DEPORTES!G12+406475.75</f>
        <v>924573.45</v>
      </c>
      <c r="I15" s="101">
        <f>+DEPORTES!I12+132822.48</f>
        <v>1000028.74</v>
      </c>
      <c r="J15" s="101">
        <f>+DEPORTES!K12+17000</f>
        <v>19898.39</v>
      </c>
      <c r="K15" s="101">
        <f>+DEPORTES!M12</f>
        <v>12239.87</v>
      </c>
      <c r="L15" s="101">
        <f>+DEPORTES!O12</f>
        <v>164106.77</v>
      </c>
      <c r="M15" s="103">
        <f t="shared" si="2"/>
        <v>1832791.5599999994</v>
      </c>
    </row>
    <row r="16" spans="1:13" ht="17.25">
      <c r="A16" s="16" t="s">
        <v>11</v>
      </c>
      <c r="B16" s="11">
        <f>SUM(B5:B15)</f>
        <v>105244300</v>
      </c>
      <c r="C16" s="11">
        <f>SUM(C5:C15)</f>
        <v>53429697.50000001</v>
      </c>
      <c r="D16" s="11">
        <f>SUM(D5:D15)</f>
        <v>17116100.28</v>
      </c>
      <c r="E16" s="12">
        <f>(C16+D16)/B16</f>
        <v>0.670305164080145</v>
      </c>
      <c r="F16" s="11">
        <f aca="true" t="shared" si="3" ref="F16:M16">SUM(F5:F15)</f>
        <v>21515874.779999997</v>
      </c>
      <c r="G16" s="11">
        <f t="shared" si="3"/>
        <v>3958153.14</v>
      </c>
      <c r="H16" s="11">
        <f t="shared" si="3"/>
        <v>14779994.610000001</v>
      </c>
      <c r="I16" s="11">
        <f t="shared" si="3"/>
        <v>7973403.12</v>
      </c>
      <c r="J16" s="11">
        <f t="shared" si="3"/>
        <v>1726225.44</v>
      </c>
      <c r="K16" s="11">
        <f t="shared" si="3"/>
        <v>17385232.450000003</v>
      </c>
      <c r="L16" s="11">
        <f t="shared" si="3"/>
        <v>3206914.2399999998</v>
      </c>
      <c r="M16" s="19">
        <f t="shared" si="3"/>
        <v>34698502.22</v>
      </c>
    </row>
    <row r="17" spans="1:13" ht="18" thickBot="1">
      <c r="A17" s="15" t="s">
        <v>52</v>
      </c>
      <c r="B17" s="6"/>
      <c r="C17" s="7"/>
      <c r="D17" s="8"/>
      <c r="E17" s="8"/>
      <c r="F17" s="13">
        <f>+F16/40231770</f>
        <v>0.5347981155191531</v>
      </c>
      <c r="G17" s="14">
        <f>+G16/3050811</f>
        <v>1.2974101443845587</v>
      </c>
      <c r="H17" s="14">
        <f>+H16/12881883</f>
        <v>1.14734737227469</v>
      </c>
      <c r="I17" s="14">
        <f>+I16/8166216</f>
        <v>0.9763889566477302</v>
      </c>
      <c r="J17" s="14">
        <f>+J16/(116720)</f>
        <v>14.789457162440026</v>
      </c>
      <c r="K17" s="14">
        <f>+K16/6723600</f>
        <v>2.5857029641858533</v>
      </c>
      <c r="L17" s="14">
        <f>+L16/2500000</f>
        <v>1.282765696</v>
      </c>
      <c r="M17" s="9"/>
    </row>
    <row r="18" spans="2:13" ht="17.25" thickTop="1">
      <c r="B18" s="5"/>
      <c r="C18" s="52"/>
      <c r="D18" s="52"/>
      <c r="E18" s="5"/>
      <c r="M18" s="5"/>
    </row>
    <row r="19" spans="9:12" ht="16.5">
      <c r="I19" s="5"/>
      <c r="J19" s="5"/>
      <c r="K19" s="5"/>
      <c r="L19" s="128" t="s">
        <v>53</v>
      </c>
    </row>
    <row r="20" ht="16.5">
      <c r="L20" s="128"/>
    </row>
    <row r="21" ht="16.5">
      <c r="L21" s="129" t="s">
        <v>54</v>
      </c>
    </row>
    <row r="22" ht="16.5">
      <c r="L22" s="128"/>
    </row>
    <row r="23" ht="16.5">
      <c r="L23" s="151" t="s">
        <v>55</v>
      </c>
    </row>
    <row r="24" ht="16.5">
      <c r="L24" s="128"/>
    </row>
    <row r="25" ht="16.5">
      <c r="L25" s="130" t="s">
        <v>56</v>
      </c>
    </row>
    <row r="26" ht="16.5">
      <c r="L26" s="128"/>
    </row>
    <row r="27" ht="16.5">
      <c r="L27" s="135" t="s">
        <v>57</v>
      </c>
    </row>
    <row r="28" ht="16.5">
      <c r="L28" s="128"/>
    </row>
    <row r="29" ht="16.5">
      <c r="L29" s="131" t="s">
        <v>58</v>
      </c>
    </row>
    <row r="30" ht="16.5">
      <c r="L30" s="128"/>
    </row>
    <row r="31" ht="16.5">
      <c r="L31" s="132" t="s">
        <v>59</v>
      </c>
    </row>
    <row r="32" ht="16.5">
      <c r="L32" s="128"/>
    </row>
    <row r="33" ht="16.5">
      <c r="L33" s="133" t="s">
        <v>60</v>
      </c>
    </row>
    <row r="34" ht="16.5">
      <c r="L34" s="128"/>
    </row>
    <row r="35" ht="16.5">
      <c r="L35" s="134" t="s">
        <v>61</v>
      </c>
    </row>
    <row r="60" spans="6:14" ht="16.5">
      <c r="F60" s="1" t="s">
        <v>61</v>
      </c>
      <c r="G60" s="1" t="s">
        <v>60</v>
      </c>
      <c r="H60" s="1" t="s">
        <v>59</v>
      </c>
      <c r="I60" s="1" t="s">
        <v>62</v>
      </c>
      <c r="J60" s="1" t="s">
        <v>63</v>
      </c>
      <c r="K60" s="1" t="s">
        <v>64</v>
      </c>
      <c r="L60" s="1" t="s">
        <v>55</v>
      </c>
      <c r="M60" s="1" t="s">
        <v>65</v>
      </c>
      <c r="N60" s="1" t="s">
        <v>66</v>
      </c>
    </row>
    <row r="61" spans="1:14" ht="16.5">
      <c r="A61" s="1" t="s">
        <v>67</v>
      </c>
      <c r="F61" s="10">
        <f>+F5/B5</f>
        <v>0.1261179852971447</v>
      </c>
      <c r="G61" s="10">
        <f aca="true" t="shared" si="4" ref="G61:M61">+G5/$B$5</f>
        <v>0.0024821718565427235</v>
      </c>
      <c r="H61" s="10">
        <f t="shared" si="4"/>
        <v>0.15016250116111998</v>
      </c>
      <c r="I61" s="10">
        <f t="shared" si="4"/>
        <v>0.21036827437597497</v>
      </c>
      <c r="J61" s="10">
        <f t="shared" si="4"/>
        <v>0.17014460263398481</v>
      </c>
      <c r="K61" s="10">
        <f t="shared" si="4"/>
        <v>0.0025806483154362115</v>
      </c>
      <c r="L61" s="10">
        <f t="shared" si="4"/>
        <v>0.016811664910305908</v>
      </c>
      <c r="M61" s="10">
        <f t="shared" si="4"/>
        <v>0.32133215144949073</v>
      </c>
      <c r="N61" s="10">
        <f>SUM(F61:M61)</f>
        <v>1</v>
      </c>
    </row>
    <row r="62" spans="1:14" ht="16.5">
      <c r="A62" s="1" t="s">
        <v>97</v>
      </c>
      <c r="F62" s="10">
        <f>+F6/B6</f>
        <v>0.2107064459719589</v>
      </c>
      <c r="G62" s="10">
        <f>+G6/B6</f>
        <v>0.00837337957444653</v>
      </c>
      <c r="H62" s="10">
        <f>+H6/B6</f>
        <v>0.20412301588338172</v>
      </c>
      <c r="I62" s="10">
        <f>+I6/B6</f>
        <v>0.06525223163608565</v>
      </c>
      <c r="J62" s="10">
        <f>+J6/B6</f>
        <v>0.015602560766703582</v>
      </c>
      <c r="K62" s="10">
        <f>+K6/B6</f>
        <v>0.016335852130805444</v>
      </c>
      <c r="L62" s="10">
        <f>+L6/B6</f>
        <v>0.02191533587745772</v>
      </c>
      <c r="M62" s="10">
        <f>+M6/B6</f>
        <v>0.4576911781591604</v>
      </c>
      <c r="N62" s="10">
        <f>SUM(F62:M62)</f>
        <v>1</v>
      </c>
    </row>
    <row r="63" spans="1:14" ht="16.5">
      <c r="A63" s="1" t="s">
        <v>98</v>
      </c>
      <c r="F63" s="10">
        <f>+F7/B7</f>
        <v>0.25529672894371574</v>
      </c>
      <c r="G63" s="10">
        <f>+G7/B7</f>
        <v>0.08991647203289767</v>
      </c>
      <c r="H63" s="10">
        <f>+H7/B7</f>
        <v>0.1374946488906595</v>
      </c>
      <c r="I63" s="10">
        <f>+I7/B7</f>
        <v>0.0006180919884192667</v>
      </c>
      <c r="J63" s="10">
        <f>+J7/B7</f>
        <v>0.02150530534138005</v>
      </c>
      <c r="K63" s="10">
        <f>+K7/B7</f>
        <v>0.00026734677664026323</v>
      </c>
      <c r="L63" s="10">
        <f>+L7/B7</f>
        <v>0.03651792031539019</v>
      </c>
      <c r="M63" s="10">
        <f>+M7/B7</f>
        <v>0.4583834857108974</v>
      </c>
      <c r="N63" s="10">
        <f>SUM(F63:M63)</f>
        <v>1</v>
      </c>
    </row>
    <row r="64" spans="1:14" ht="16.5">
      <c r="A64" s="1" t="s">
        <v>68</v>
      </c>
      <c r="F64" s="10">
        <f aca="true" t="shared" si="5" ref="F64:M64">+F8/$B$8</f>
        <v>0.2271199612745668</v>
      </c>
      <c r="G64" s="10">
        <f t="shared" si="5"/>
        <v>0.006965086235380709</v>
      </c>
      <c r="H64" s="10">
        <f t="shared" si="5"/>
        <v>0.11484814753686907</v>
      </c>
      <c r="I64" s="10">
        <f t="shared" si="5"/>
        <v>0.30708985856557686</v>
      </c>
      <c r="J64" s="10">
        <f t="shared" si="5"/>
        <v>0.0025067230750650334</v>
      </c>
      <c r="K64" s="10">
        <f t="shared" si="5"/>
        <v>0.0028333709324215796</v>
      </c>
      <c r="L64" s="10">
        <f t="shared" si="5"/>
        <v>0.0215704309050833</v>
      </c>
      <c r="M64" s="10">
        <f t="shared" si="5"/>
        <v>0.31706642147503666</v>
      </c>
      <c r="N64" s="10">
        <f aca="true" t="shared" si="6" ref="N64:N71">SUM(F64:M64)</f>
        <v>1</v>
      </c>
    </row>
    <row r="65" spans="1:14" ht="16.5">
      <c r="A65" s="1" t="s">
        <v>69</v>
      </c>
      <c r="F65" s="10">
        <f>+F9/$B$9</f>
        <v>0.0692663190170752</v>
      </c>
      <c r="G65" s="10">
        <f aca="true" t="shared" si="7" ref="G65:M65">+G9/$B$9</f>
        <v>0.013484795479940439</v>
      </c>
      <c r="H65" s="10">
        <f t="shared" si="7"/>
        <v>0.05476456593528977</v>
      </c>
      <c r="I65" s="10">
        <f t="shared" si="7"/>
        <v>0.0004902541749540113</v>
      </c>
      <c r="J65" s="10">
        <f t="shared" si="7"/>
        <v>0.004835763237346936</v>
      </c>
      <c r="K65" s="10">
        <f t="shared" si="7"/>
        <v>0.7522347764572853</v>
      </c>
      <c r="L65" s="10">
        <f t="shared" si="7"/>
        <v>0.014787203586681282</v>
      </c>
      <c r="M65" s="10">
        <f t="shared" si="7"/>
        <v>0.09013632211142704</v>
      </c>
      <c r="N65" s="10">
        <f t="shared" si="6"/>
        <v>1</v>
      </c>
    </row>
    <row r="66" spans="1:14" ht="16.5">
      <c r="A66" s="1" t="s">
        <v>72</v>
      </c>
      <c r="F66" s="10">
        <f>+F10/$B$10</f>
        <v>0.30245279412609305</v>
      </c>
      <c r="G66" s="10">
        <f aca="true" t="shared" si="8" ref="G66:M66">+G10/$B$10</f>
        <v>0.02124529855690892</v>
      </c>
      <c r="H66" s="10">
        <f t="shared" si="8"/>
        <v>0.1344064341033752</v>
      </c>
      <c r="I66" s="10">
        <f t="shared" si="8"/>
        <v>0</v>
      </c>
      <c r="J66" s="10">
        <f t="shared" si="8"/>
        <v>0.004424510680262336</v>
      </c>
      <c r="K66" s="10">
        <f t="shared" si="8"/>
        <v>0.0008570552736397468</v>
      </c>
      <c r="L66" s="10">
        <f t="shared" si="8"/>
        <v>0.0443626356813324</v>
      </c>
      <c r="M66" s="10">
        <f t="shared" si="8"/>
        <v>0.4922512715783884</v>
      </c>
      <c r="N66" s="10">
        <f t="shared" si="6"/>
        <v>1</v>
      </c>
    </row>
    <row r="67" spans="1:14" ht="16.5">
      <c r="A67" s="1" t="s">
        <v>70</v>
      </c>
      <c r="F67" s="10">
        <f>+F11/$B$11</f>
        <v>0.23161852331808458</v>
      </c>
      <c r="G67" s="10">
        <f aca="true" t="shared" si="9" ref="G67:M67">+G11/$B$11</f>
        <v>0.01000083061406111</v>
      </c>
      <c r="H67" s="10">
        <f t="shared" si="9"/>
        <v>0.0381837155927493</v>
      </c>
      <c r="I67" s="10">
        <f t="shared" si="9"/>
        <v>0.06614618807475527</v>
      </c>
      <c r="J67" s="10">
        <f t="shared" si="9"/>
        <v>0.0020056082062171153</v>
      </c>
      <c r="K67" s="10">
        <f t="shared" si="9"/>
        <v>0</v>
      </c>
      <c r="L67" s="10">
        <f t="shared" si="9"/>
        <v>0.03403946978094897</v>
      </c>
      <c r="M67" s="10">
        <f t="shared" si="9"/>
        <v>0.6180056644131836</v>
      </c>
      <c r="N67" s="10">
        <f t="shared" si="6"/>
        <v>0.9999999999999999</v>
      </c>
    </row>
    <row r="68" spans="1:14" ht="16.5">
      <c r="A68" s="1" t="s">
        <v>101</v>
      </c>
      <c r="F68" s="10">
        <f>+F12/$B$12</f>
        <v>0.2658974276229877</v>
      </c>
      <c r="G68" s="10">
        <f aca="true" t="shared" si="10" ref="G68:M68">+G12/$B$12</f>
        <v>0</v>
      </c>
      <c r="H68" s="10">
        <f t="shared" si="10"/>
        <v>0.04824283652056804</v>
      </c>
      <c r="I68" s="10">
        <f t="shared" si="10"/>
        <v>0</v>
      </c>
      <c r="J68" s="10">
        <f t="shared" si="10"/>
        <v>0.015489767072627645</v>
      </c>
      <c r="K68" s="10">
        <f t="shared" si="10"/>
        <v>0</v>
      </c>
      <c r="L68" s="10">
        <f t="shared" si="10"/>
        <v>0.041700690370313</v>
      </c>
      <c r="M68" s="10">
        <f t="shared" si="10"/>
        <v>0.6286692784135036</v>
      </c>
      <c r="N68" s="10">
        <f t="shared" si="6"/>
        <v>1</v>
      </c>
    </row>
    <row r="69" spans="1:14" ht="16.5">
      <c r="A69" s="1" t="s">
        <v>73</v>
      </c>
      <c r="F69" s="10">
        <f>+F13/$B$13</f>
        <v>0.27400912240475706</v>
      </c>
      <c r="G69" s="10">
        <f aca="true" t="shared" si="11" ref="G69:M69">+G13/$B$13</f>
        <v>0.10439627779501663</v>
      </c>
      <c r="H69" s="10">
        <f t="shared" si="11"/>
        <v>0.20100187075383702</v>
      </c>
      <c r="I69" s="10">
        <f t="shared" si="11"/>
        <v>0.00495984563204635</v>
      </c>
      <c r="J69" s="10">
        <f t="shared" si="11"/>
        <v>0.008324703903337215</v>
      </c>
      <c r="K69" s="10">
        <f t="shared" si="11"/>
        <v>0.03401696318116379</v>
      </c>
      <c r="L69" s="10">
        <f t="shared" si="11"/>
        <v>0.045054324183584495</v>
      </c>
      <c r="M69" s="10">
        <f t="shared" si="11"/>
        <v>0.3282368921462574</v>
      </c>
      <c r="N69" s="10">
        <f t="shared" si="6"/>
        <v>0.9999999999999998</v>
      </c>
    </row>
    <row r="70" spans="1:14" ht="16.5">
      <c r="A70" s="1" t="s">
        <v>74</v>
      </c>
      <c r="F70" s="10">
        <f>+F14/$B$14</f>
        <v>0.2057030874587165</v>
      </c>
      <c r="G70" s="10">
        <f aca="true" t="shared" si="12" ref="G70:M70">+G14/$B$14</f>
        <v>0.009196373408726295</v>
      </c>
      <c r="H70" s="10">
        <f t="shared" si="12"/>
        <v>0.20572930041162724</v>
      </c>
      <c r="I70" s="10">
        <f t="shared" si="12"/>
        <v>0.061945485448124546</v>
      </c>
      <c r="J70" s="10">
        <f t="shared" si="12"/>
        <v>0.00023422582802167208</v>
      </c>
      <c r="K70" s="10">
        <f t="shared" si="12"/>
        <v>0.010401520910614085</v>
      </c>
      <c r="L70" s="10">
        <f t="shared" si="12"/>
        <v>0.039410033764113936</v>
      </c>
      <c r="M70" s="10">
        <f t="shared" si="12"/>
        <v>0.4673799727700558</v>
      </c>
      <c r="N70" s="10">
        <f t="shared" si="6"/>
        <v>1</v>
      </c>
    </row>
    <row r="71" spans="1:14" ht="16.5">
      <c r="A71" s="1" t="s">
        <v>71</v>
      </c>
      <c r="F71" s="10">
        <f>+F15/$B$15</f>
        <v>0.12569386346695882</v>
      </c>
      <c r="G71" s="10">
        <f aca="true" t="shared" si="13" ref="G71:M71">+G15/$B$15</f>
        <v>0.00729586939535969</v>
      </c>
      <c r="H71" s="10">
        <f t="shared" si="13"/>
        <v>0.20275364505426766</v>
      </c>
      <c r="I71" s="10">
        <f t="shared" si="13"/>
        <v>0.21930055659074627</v>
      </c>
      <c r="J71" s="10">
        <f t="shared" si="13"/>
        <v>0.004363602592321236</v>
      </c>
      <c r="K71" s="10">
        <f t="shared" si="13"/>
        <v>0.002684133161611313</v>
      </c>
      <c r="L71" s="10">
        <f t="shared" si="13"/>
        <v>0.035987671715624475</v>
      </c>
      <c r="M71" s="10">
        <f t="shared" si="13"/>
        <v>0.4019206580231104</v>
      </c>
      <c r="N71" s="10">
        <f t="shared" si="6"/>
        <v>0.9999999999999998</v>
      </c>
    </row>
  </sheetData>
  <mergeCells count="1">
    <mergeCell ref="F3:L3"/>
  </mergeCells>
  <printOptions/>
  <pageMargins left="0.93" right="0.46" top="0.68" bottom="0.22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workbookViewId="0" topLeftCell="K3">
      <selection activeCell="E18" sqref="E18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6.8515625" style="1" customWidth="1"/>
    <col min="5" max="5" width="9.421875" style="1" customWidth="1"/>
    <col min="6" max="6" width="9.28125" style="1" customWidth="1"/>
    <col min="7" max="7" width="10.8515625" style="1" customWidth="1"/>
    <col min="8" max="8" width="7.4218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10.421875" style="1" customWidth="1"/>
    <col min="14" max="14" width="8.28125" style="1" customWidth="1"/>
    <col min="15" max="15" width="10.7109375" style="1" customWidth="1"/>
    <col min="16" max="16" width="11.8515625" style="1" customWidth="1"/>
    <col min="17" max="17" width="12.00390625" style="1" customWidth="1"/>
    <col min="18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5" t="s">
        <v>108</v>
      </c>
      <c r="C2" s="165"/>
      <c r="D2" s="170"/>
      <c r="E2" s="170"/>
      <c r="I2" s="21" t="s">
        <v>24</v>
      </c>
      <c r="J2" s="21"/>
      <c r="K2" s="150">
        <v>40664</v>
      </c>
      <c r="L2" s="122"/>
      <c r="M2" s="122"/>
      <c r="O2" s="20"/>
    </row>
    <row r="3" spans="2:4" ht="6.75" customHeight="1">
      <c r="B3" s="171"/>
      <c r="C3" s="171"/>
      <c r="D3" s="67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33</v>
      </c>
      <c r="K5" s="173"/>
      <c r="L5" s="172" t="s">
        <v>37</v>
      </c>
      <c r="M5" s="173"/>
      <c r="N5" s="172" t="s">
        <v>34</v>
      </c>
      <c r="O5" s="173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9" ht="17.25">
      <c r="A7" s="31" t="s">
        <v>15</v>
      </c>
      <c r="B7" s="68">
        <v>1180470</v>
      </c>
      <c r="C7" s="33">
        <f>7678.03+315768.22+100.5+24778.88+2024.01+43193.56+897.16+87915.3</f>
        <v>482355.66</v>
      </c>
      <c r="D7" s="68">
        <v>1700</v>
      </c>
      <c r="E7" s="33">
        <f>2682.62+8392.51</f>
        <v>11075.130000000001</v>
      </c>
      <c r="F7" s="68">
        <v>227129</v>
      </c>
      <c r="G7" s="33">
        <f>53998.78+296443.79</f>
        <v>350442.56999999995</v>
      </c>
      <c r="H7" s="68">
        <v>498847</v>
      </c>
      <c r="I7" s="33">
        <f>226482.76+233235.98+1000</f>
        <v>460718.74</v>
      </c>
      <c r="J7" s="68">
        <v>1400</v>
      </c>
      <c r="K7" s="33">
        <f>2288.7+29216.67</f>
        <v>31505.37</v>
      </c>
      <c r="L7" s="68">
        <v>70000</v>
      </c>
      <c r="M7" s="33">
        <f>8300+21114.95</f>
        <v>29414.95</v>
      </c>
      <c r="N7" s="68">
        <v>200000</v>
      </c>
      <c r="O7" s="33">
        <v>81691.45</v>
      </c>
      <c r="P7" s="34">
        <f>+O7+K7+I7+G7+E7+C7+M7</f>
        <v>1447203.8699999999</v>
      </c>
      <c r="Q7" s="34">
        <f>+B7+D7+F7+H7+J7+N7-P7+L7</f>
        <v>732342.1300000001</v>
      </c>
      <c r="R7" s="5"/>
      <c r="S7" s="5"/>
    </row>
    <row r="8" spans="1:17" ht="17.25">
      <c r="A8" s="31" t="s">
        <v>138</v>
      </c>
      <c r="B8" s="68">
        <v>0</v>
      </c>
      <c r="C8" s="33">
        <v>0</v>
      </c>
      <c r="D8" s="68">
        <v>10000</v>
      </c>
      <c r="E8" s="33">
        <v>0</v>
      </c>
      <c r="F8" s="68">
        <v>62217</v>
      </c>
      <c r="G8" s="33">
        <v>0</v>
      </c>
      <c r="H8" s="68">
        <v>0</v>
      </c>
      <c r="I8" s="33">
        <v>0</v>
      </c>
      <c r="J8" s="68">
        <v>1000</v>
      </c>
      <c r="K8" s="33">
        <v>0</v>
      </c>
      <c r="L8" s="68">
        <v>0</v>
      </c>
      <c r="M8" s="33">
        <v>0</v>
      </c>
      <c r="N8" s="68">
        <v>0</v>
      </c>
      <c r="O8" s="37">
        <v>0</v>
      </c>
      <c r="P8" s="34">
        <f>+O8+K8+I8+G8+E8+C8+M8</f>
        <v>0</v>
      </c>
      <c r="Q8" s="34">
        <f>+B8+D8+F8+H8+J8+N8-P8</f>
        <v>73217</v>
      </c>
    </row>
    <row r="9" spans="1:17" ht="17.25">
      <c r="A9" s="31" t="s">
        <v>84</v>
      </c>
      <c r="B9" s="68">
        <v>186349</v>
      </c>
      <c r="C9" s="33">
        <f>171.04+65499.13</f>
        <v>65670.17</v>
      </c>
      <c r="D9" s="68">
        <v>0</v>
      </c>
      <c r="E9" s="33">
        <v>960</v>
      </c>
      <c r="F9" s="68">
        <v>0</v>
      </c>
      <c r="G9" s="33">
        <f>1213.32+16494.09</f>
        <v>17707.41</v>
      </c>
      <c r="H9" s="68">
        <v>0</v>
      </c>
      <c r="I9" s="33">
        <v>0</v>
      </c>
      <c r="J9" s="68">
        <v>0</v>
      </c>
      <c r="K9" s="33">
        <v>7158.67</v>
      </c>
      <c r="L9" s="68">
        <v>0</v>
      </c>
      <c r="M9" s="33">
        <v>0</v>
      </c>
      <c r="N9" s="68">
        <v>0</v>
      </c>
      <c r="O9" s="37">
        <v>5478.17</v>
      </c>
      <c r="P9" s="34">
        <f>+O9+K9+I9+G9+E9+C9</f>
        <v>96974.42</v>
      </c>
      <c r="Q9" s="34">
        <f>+B9+D9+F9+H9+J9+N9-P9</f>
        <v>89374.58</v>
      </c>
    </row>
    <row r="10" spans="1:17" ht="17.25">
      <c r="A10" s="31" t="s">
        <v>85</v>
      </c>
      <c r="B10" s="68">
        <v>355484</v>
      </c>
      <c r="C10" s="33">
        <f>1662.93+123472.14</f>
        <v>125135.06999999999</v>
      </c>
      <c r="D10" s="68">
        <v>0</v>
      </c>
      <c r="E10" s="33">
        <v>659</v>
      </c>
      <c r="F10" s="68">
        <v>244893</v>
      </c>
      <c r="G10" s="33">
        <f>163.35+14526.01</f>
        <v>14689.36</v>
      </c>
      <c r="H10" s="68">
        <v>0</v>
      </c>
      <c r="I10" s="33">
        <v>0</v>
      </c>
      <c r="J10" s="68">
        <v>0</v>
      </c>
      <c r="K10" s="33">
        <v>1761.89</v>
      </c>
      <c r="L10" s="68">
        <v>0</v>
      </c>
      <c r="M10" s="33">
        <v>0</v>
      </c>
      <c r="N10" s="68">
        <v>0</v>
      </c>
      <c r="O10" s="37">
        <v>8396.4</v>
      </c>
      <c r="P10" s="34">
        <f aca="true" t="shared" si="0" ref="P10:P15">+O10+K10+I10+G10+E10+C10+M10</f>
        <v>150641.72</v>
      </c>
      <c r="Q10" s="34">
        <f aca="true" t="shared" si="1" ref="Q10:Q16">+B10+D10+F10+H10+J10+N10-P10</f>
        <v>449735.28</v>
      </c>
    </row>
    <row r="11" spans="1:17" ht="17.25">
      <c r="A11" s="31" t="s">
        <v>75</v>
      </c>
      <c r="B11" s="68">
        <v>840190</v>
      </c>
      <c r="C11" s="33">
        <f>1676.43+142279.69+4497.33+86153.33+11.8+33210.84+3+6955.61</f>
        <v>274788.0299999999</v>
      </c>
      <c r="D11" s="68">
        <v>2080</v>
      </c>
      <c r="E11" s="33">
        <f>3550+285.5</f>
        <v>3835.5</v>
      </c>
      <c r="F11" s="68">
        <v>12267</v>
      </c>
      <c r="G11" s="33">
        <f>2402.8+11769.03+7990</f>
        <v>22161.83</v>
      </c>
      <c r="H11" s="68">
        <v>0</v>
      </c>
      <c r="I11" s="33">
        <v>0</v>
      </c>
      <c r="J11" s="68">
        <v>0</v>
      </c>
      <c r="K11" s="33">
        <f>189+59</f>
        <v>248</v>
      </c>
      <c r="L11" s="68">
        <v>0</v>
      </c>
      <c r="M11" s="33">
        <v>0</v>
      </c>
      <c r="N11" s="68">
        <v>0</v>
      </c>
      <c r="O11" s="37">
        <v>18387.04</v>
      </c>
      <c r="P11" s="34">
        <f t="shared" si="0"/>
        <v>319420.3999999999</v>
      </c>
      <c r="Q11" s="34">
        <f t="shared" si="1"/>
        <v>535116.6000000001</v>
      </c>
    </row>
    <row r="12" spans="1:17" ht="17.25">
      <c r="A12" s="31" t="s">
        <v>109</v>
      </c>
      <c r="B12" s="68">
        <v>774394</v>
      </c>
      <c r="C12" s="33">
        <f>3268.64+305286.74</f>
        <v>308555.38</v>
      </c>
      <c r="D12" s="68">
        <v>11000</v>
      </c>
      <c r="E12" s="33">
        <v>9874.25</v>
      </c>
      <c r="F12" s="68">
        <v>102650</v>
      </c>
      <c r="G12" s="33">
        <f>6193.05+29294.75</f>
        <v>35487.8</v>
      </c>
      <c r="H12" s="68">
        <v>0</v>
      </c>
      <c r="I12" s="33">
        <v>0</v>
      </c>
      <c r="J12" s="68">
        <v>8000</v>
      </c>
      <c r="K12" s="33">
        <v>2455</v>
      </c>
      <c r="L12" s="68">
        <v>0</v>
      </c>
      <c r="M12" s="33">
        <v>0</v>
      </c>
      <c r="N12" s="68">
        <v>0</v>
      </c>
      <c r="O12" s="37">
        <v>23198.73</v>
      </c>
      <c r="P12" s="34">
        <f t="shared" si="0"/>
        <v>379571.16000000003</v>
      </c>
      <c r="Q12" s="34">
        <f t="shared" si="1"/>
        <v>516472.83999999997</v>
      </c>
    </row>
    <row r="13" spans="1:17" ht="17.25">
      <c r="A13" s="31" t="s">
        <v>12</v>
      </c>
      <c r="B13" s="68">
        <v>233995</v>
      </c>
      <c r="C13" s="33">
        <f>1130.05+87491.44</f>
        <v>88621.49</v>
      </c>
      <c r="D13" s="68">
        <v>10800</v>
      </c>
      <c r="E13" s="33">
        <v>600</v>
      </c>
      <c r="F13" s="68">
        <v>89500</v>
      </c>
      <c r="G13" s="33">
        <f>64+19377.22</f>
        <v>19441.22</v>
      </c>
      <c r="H13" s="68">
        <v>0</v>
      </c>
      <c r="I13" s="33">
        <v>0</v>
      </c>
      <c r="J13" s="68">
        <v>390000</v>
      </c>
      <c r="K13" s="33">
        <v>72669.42</v>
      </c>
      <c r="L13" s="68">
        <v>0</v>
      </c>
      <c r="M13" s="33">
        <f>37450.79+32713.02</f>
        <v>70163.81</v>
      </c>
      <c r="N13" s="68">
        <v>0</v>
      </c>
      <c r="O13" s="37">
        <v>3951.85</v>
      </c>
      <c r="P13" s="34">
        <f t="shared" si="0"/>
        <v>255447.79</v>
      </c>
      <c r="Q13" s="34">
        <f t="shared" si="1"/>
        <v>468847.20999999996</v>
      </c>
    </row>
    <row r="14" spans="1:17" ht="17.25">
      <c r="A14" s="31" t="s">
        <v>79</v>
      </c>
      <c r="B14" s="68">
        <v>762365</v>
      </c>
      <c r="C14" s="33">
        <f>3863.89+319257.02</f>
        <v>323120.91000000003</v>
      </c>
      <c r="D14" s="68">
        <v>38595</v>
      </c>
      <c r="E14" s="33">
        <f>1112+13707.58</f>
        <v>14819.58</v>
      </c>
      <c r="F14" s="68">
        <v>338795</v>
      </c>
      <c r="G14" s="33">
        <v>8495.6</v>
      </c>
      <c r="H14" s="68">
        <v>24000</v>
      </c>
      <c r="I14" s="33">
        <f>7295.25+17806.73</f>
        <v>25101.98</v>
      </c>
      <c r="J14" s="68">
        <v>26088</v>
      </c>
      <c r="K14" s="33">
        <v>951.48</v>
      </c>
      <c r="L14" s="68">
        <v>75000</v>
      </c>
      <c r="M14" s="33">
        <v>24900</v>
      </c>
      <c r="N14" s="68">
        <v>0</v>
      </c>
      <c r="O14" s="37">
        <v>18767.5</v>
      </c>
      <c r="P14" s="34">
        <f t="shared" si="0"/>
        <v>416157.05000000005</v>
      </c>
      <c r="Q14" s="34">
        <f>+B14+D14+F14+H14+J14+N14-P14+L14</f>
        <v>848685.95</v>
      </c>
    </row>
    <row r="15" spans="1:17" ht="17.25">
      <c r="A15" s="31" t="s">
        <v>78</v>
      </c>
      <c r="B15" s="68">
        <v>451951</v>
      </c>
      <c r="C15" s="33">
        <f>1483.9+166403.26</f>
        <v>167887.16</v>
      </c>
      <c r="D15" s="68">
        <v>0</v>
      </c>
      <c r="E15" s="33">
        <f>45.5+3956.94</f>
        <v>4002.44</v>
      </c>
      <c r="F15" s="68">
        <v>1319636</v>
      </c>
      <c r="G15" s="33">
        <f>76262.15+310376.58</f>
        <v>386638.73</v>
      </c>
      <c r="H15" s="68">
        <v>135000</v>
      </c>
      <c r="I15" s="33">
        <f>11042.82+4389</f>
        <v>15431.82</v>
      </c>
      <c r="J15" s="68">
        <v>25593</v>
      </c>
      <c r="K15" s="33">
        <v>0</v>
      </c>
      <c r="L15" s="68">
        <v>0</v>
      </c>
      <c r="M15" s="33">
        <v>16318.18</v>
      </c>
      <c r="N15" s="68">
        <v>0</v>
      </c>
      <c r="O15" s="37">
        <v>30771.65</v>
      </c>
      <c r="P15" s="34">
        <f t="shared" si="0"/>
        <v>621049.98</v>
      </c>
      <c r="Q15" s="34">
        <f t="shared" si="1"/>
        <v>1311130.02</v>
      </c>
    </row>
    <row r="16" spans="1:18" ht="17.25">
      <c r="A16" s="31" t="s">
        <v>110</v>
      </c>
      <c r="B16" s="32">
        <v>89461</v>
      </c>
      <c r="C16" s="33">
        <v>19107.52</v>
      </c>
      <c r="D16" s="32">
        <v>0</v>
      </c>
      <c r="E16" s="33">
        <v>0</v>
      </c>
      <c r="F16" s="32">
        <v>4014</v>
      </c>
      <c r="G16" s="33">
        <v>385.56</v>
      </c>
      <c r="H16" s="32">
        <v>0</v>
      </c>
      <c r="I16" s="33">
        <v>0</v>
      </c>
      <c r="J16" s="32">
        <v>0</v>
      </c>
      <c r="K16" s="33">
        <f>99.29*2</f>
        <v>198.58</v>
      </c>
      <c r="L16" s="68">
        <v>0</v>
      </c>
      <c r="M16" s="37">
        <v>0</v>
      </c>
      <c r="N16" s="32">
        <v>0</v>
      </c>
      <c r="O16" s="37">
        <v>2318.74</v>
      </c>
      <c r="P16" s="34">
        <f>+O16+K16+I16+G16+E16+C16</f>
        <v>22010.4</v>
      </c>
      <c r="Q16" s="34">
        <f t="shared" si="1"/>
        <v>71464.6</v>
      </c>
      <c r="R16" s="158"/>
    </row>
    <row r="17" spans="1:18" ht="18" thickBot="1">
      <c r="A17" s="38" t="s">
        <v>11</v>
      </c>
      <c r="B17" s="39">
        <f>SUM(B7:B16)</f>
        <v>4874659</v>
      </c>
      <c r="C17" s="40">
        <f>SUM(C7:C16)</f>
        <v>1855241.39</v>
      </c>
      <c r="D17" s="39">
        <f aca="true" t="shared" si="2" ref="B17:P17">SUM(D7:D16)</f>
        <v>74175</v>
      </c>
      <c r="E17" s="40">
        <f>SUM(E7:E16)</f>
        <v>45825.9</v>
      </c>
      <c r="F17" s="39">
        <f t="shared" si="2"/>
        <v>2401101</v>
      </c>
      <c r="G17" s="40">
        <f t="shared" si="2"/>
        <v>855450.08</v>
      </c>
      <c r="H17" s="39">
        <f t="shared" si="2"/>
        <v>657847</v>
      </c>
      <c r="I17" s="40">
        <f t="shared" si="2"/>
        <v>501252.54</v>
      </c>
      <c r="J17" s="39">
        <f t="shared" si="2"/>
        <v>452081</v>
      </c>
      <c r="K17" s="40">
        <f t="shared" si="2"/>
        <v>116948.41</v>
      </c>
      <c r="L17" s="39">
        <f t="shared" si="2"/>
        <v>145000</v>
      </c>
      <c r="M17" s="40">
        <f t="shared" si="2"/>
        <v>140796.94</v>
      </c>
      <c r="N17" s="39">
        <f t="shared" si="2"/>
        <v>200000</v>
      </c>
      <c r="O17" s="40">
        <f t="shared" si="2"/>
        <v>192961.53</v>
      </c>
      <c r="P17" s="42">
        <f t="shared" si="2"/>
        <v>3708476.79</v>
      </c>
      <c r="Q17" s="42">
        <f>SUM(Q7:Q16)</f>
        <v>5096386.209999999</v>
      </c>
      <c r="R17" s="5"/>
    </row>
    <row r="18" spans="1:17" ht="17.25" thickBot="1">
      <c r="A18" s="43" t="s">
        <v>31</v>
      </c>
      <c r="B18" s="44"/>
      <c r="C18" s="139">
        <f>+C17/B17</f>
        <v>0.3805889581199423</v>
      </c>
      <c r="D18" s="46"/>
      <c r="E18" s="139">
        <f>+E17/D17</f>
        <v>0.6178078867542973</v>
      </c>
      <c r="F18" s="139"/>
      <c r="G18" s="139">
        <f>+G17/F17</f>
        <v>0.35627409259335613</v>
      </c>
      <c r="H18" s="139"/>
      <c r="I18" s="139">
        <f>+I17/H17</f>
        <v>0.7619591485558191</v>
      </c>
      <c r="J18" s="139"/>
      <c r="K18" s="139">
        <f>+K17/J17</f>
        <v>0.2586890623582942</v>
      </c>
      <c r="L18" s="147"/>
      <c r="M18" s="147">
        <f>+M17/L17</f>
        <v>0.9710133793103448</v>
      </c>
      <c r="N18" s="139"/>
      <c r="O18" s="141">
        <f>+O17/N17</f>
        <v>0.96480765</v>
      </c>
      <c r="P18" s="58"/>
      <c r="Q18" s="58"/>
    </row>
    <row r="19" spans="1:17" ht="8.25" customHeight="1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ht="16.5">
      <c r="P20" s="5"/>
    </row>
    <row r="22" ht="17.25">
      <c r="P22" s="69"/>
    </row>
    <row r="23" ht="16.5">
      <c r="P23" s="70"/>
    </row>
    <row r="24" ht="16.5">
      <c r="P24" s="58"/>
    </row>
    <row r="25" ht="16.5">
      <c r="P25" s="58"/>
    </row>
    <row r="26" ht="16.5">
      <c r="P26" s="58"/>
    </row>
    <row r="40" spans="1:6" ht="16.5">
      <c r="A40" s="53"/>
      <c r="B40" s="53"/>
      <c r="C40" s="53"/>
      <c r="D40" s="53"/>
      <c r="E40" s="53"/>
      <c r="F40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ht="16.5">
      <c r="C49" s="48"/>
    </row>
    <row r="51" spans="1:4" ht="16.5">
      <c r="A51" s="62" t="s">
        <v>27</v>
      </c>
      <c r="B51" s="71" t="s">
        <v>28</v>
      </c>
      <c r="C51" s="62" t="s">
        <v>29</v>
      </c>
      <c r="D51" s="62"/>
    </row>
    <row r="52" spans="1:3" ht="17.25">
      <c r="A52" s="64">
        <f>+B17</f>
        <v>4874659</v>
      </c>
      <c r="B52" s="65">
        <f>+C17</f>
        <v>1855241.39</v>
      </c>
      <c r="C52" s="62" t="s">
        <v>1</v>
      </c>
    </row>
    <row r="53" spans="1:3" ht="17.25">
      <c r="A53" s="64">
        <f>+D17</f>
        <v>74175</v>
      </c>
      <c r="B53" s="65">
        <f>+E17</f>
        <v>45825.9</v>
      </c>
      <c r="C53" s="62" t="s">
        <v>2</v>
      </c>
    </row>
    <row r="54" spans="1:3" ht="17.25">
      <c r="A54" s="64">
        <f>+F17</f>
        <v>2401101</v>
      </c>
      <c r="B54" s="65">
        <f>+G17</f>
        <v>855450.08</v>
      </c>
      <c r="C54" s="62" t="s">
        <v>3</v>
      </c>
    </row>
    <row r="55" spans="1:3" ht="17.25">
      <c r="A55" s="64">
        <f>+H17</f>
        <v>657847</v>
      </c>
      <c r="B55" s="65">
        <f>+I17</f>
        <v>501252.54</v>
      </c>
      <c r="C55" s="62" t="s">
        <v>35</v>
      </c>
    </row>
    <row r="56" spans="1:3" ht="17.25">
      <c r="A56" s="64">
        <f>+J17</f>
        <v>452081</v>
      </c>
      <c r="B56" s="65">
        <f>+K17</f>
        <v>116948.41</v>
      </c>
      <c r="C56" s="62" t="s">
        <v>33</v>
      </c>
    </row>
    <row r="57" spans="1:3" ht="17.25">
      <c r="A57" s="64">
        <v>0</v>
      </c>
      <c r="B57" s="65">
        <f>+M17</f>
        <v>140796.94</v>
      </c>
      <c r="C57" s="62" t="s">
        <v>106</v>
      </c>
    </row>
    <row r="58" spans="1:3" ht="17.25">
      <c r="A58" s="64">
        <f>+N17</f>
        <v>200000</v>
      </c>
      <c r="B58" s="65">
        <f>+O17</f>
        <v>192961.53</v>
      </c>
      <c r="C58" s="62" t="s">
        <v>36</v>
      </c>
    </row>
    <row r="59" spans="1:3" ht="17.25">
      <c r="A59" s="64"/>
      <c r="B59" s="64"/>
      <c r="C59" s="62"/>
    </row>
    <row r="60" spans="1:3" ht="17.25">
      <c r="A60" s="64">
        <v>866913</v>
      </c>
      <c r="B60" s="65">
        <v>406071.92</v>
      </c>
      <c r="C60" s="62"/>
    </row>
    <row r="61" spans="1:3" ht="17.25">
      <c r="A61" s="64"/>
      <c r="B61" s="64"/>
      <c r="C61" s="62"/>
    </row>
    <row r="62" spans="1:2" ht="17.25">
      <c r="A62" s="64"/>
      <c r="B62" s="64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  <row r="76" spans="1:2" ht="17.25">
      <c r="A76" s="64"/>
      <c r="B76" s="64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6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21">
      <selection activeCell="P16" sqref="P16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140625" style="1" customWidth="1"/>
    <col min="4" max="4" width="7.8515625" style="1" customWidth="1"/>
    <col min="5" max="5" width="10.421875" style="1" customWidth="1"/>
    <col min="6" max="6" width="9.28125" style="1" customWidth="1"/>
    <col min="7" max="7" width="10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4" width="9.28125" style="1" customWidth="1"/>
    <col min="15" max="16" width="11.8515625" style="1" customWidth="1"/>
    <col min="17" max="17" width="12.140625" style="1" customWidth="1"/>
    <col min="18" max="18" width="11.28125" style="1" customWidth="1"/>
    <col min="19" max="16384" width="11.421875" style="1" customWidth="1"/>
  </cols>
  <sheetData>
    <row r="1" spans="14:15" ht="16.5">
      <c r="N1" s="72"/>
      <c r="O1" s="72"/>
    </row>
    <row r="2" spans="1:15" ht="18">
      <c r="A2" s="146" t="s">
        <v>0</v>
      </c>
      <c r="B2" s="165" t="s">
        <v>137</v>
      </c>
      <c r="C2" s="177"/>
      <c r="D2" s="177"/>
      <c r="E2" s="177"/>
      <c r="F2" s="177"/>
      <c r="G2" s="178"/>
      <c r="L2" s="174" t="s">
        <v>24</v>
      </c>
      <c r="M2" s="175"/>
      <c r="N2" s="150">
        <v>40664</v>
      </c>
      <c r="O2" s="73"/>
    </row>
    <row r="3" spans="2:5" ht="16.5" customHeight="1">
      <c r="B3" s="176"/>
      <c r="C3" s="176"/>
      <c r="D3" s="176"/>
      <c r="E3" s="176"/>
    </row>
    <row r="4" spans="15:16" ht="18" thickBot="1">
      <c r="O4" s="74"/>
      <c r="P4" s="65"/>
    </row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75" t="s">
        <v>139</v>
      </c>
      <c r="I5" s="75"/>
      <c r="J5" s="172" t="s">
        <v>33</v>
      </c>
      <c r="K5" s="173"/>
      <c r="L5" s="172" t="s">
        <v>37</v>
      </c>
      <c r="M5" s="173"/>
      <c r="N5" s="172" t="s">
        <v>34</v>
      </c>
      <c r="O5" s="173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630220</v>
      </c>
      <c r="C7" s="33">
        <f>1287.99+158145.21+723.89+30887.52+1964.15+91709.83+1+3+23774.17</f>
        <v>308496.75999999995</v>
      </c>
      <c r="D7" s="68">
        <v>1000</v>
      </c>
      <c r="E7" s="33">
        <v>324</v>
      </c>
      <c r="F7" s="68">
        <v>864868</v>
      </c>
      <c r="G7" s="33">
        <f>2650.4+6168.86</f>
        <v>8819.26</v>
      </c>
      <c r="H7" s="68">
        <v>0</v>
      </c>
      <c r="I7" s="33">
        <v>0</v>
      </c>
      <c r="J7" s="68">
        <v>2888</v>
      </c>
      <c r="K7" s="33">
        <v>150</v>
      </c>
      <c r="L7" s="68">
        <v>0</v>
      </c>
      <c r="M7" s="33">
        <v>0</v>
      </c>
      <c r="N7" s="68">
        <v>300000</v>
      </c>
      <c r="O7" s="33">
        <v>90072.2</v>
      </c>
      <c r="P7" s="34">
        <f>+C7+E7+G7+K7+O7+I7</f>
        <v>407862.22</v>
      </c>
      <c r="Q7" s="34">
        <f aca="true" t="shared" si="0" ref="Q7:Q13">+B7+D7+F7+J7+N7+H7-P7</f>
        <v>1391113.78</v>
      </c>
      <c r="R7" s="158"/>
    </row>
    <row r="8" spans="1:18" ht="17.25">
      <c r="A8" s="31" t="s">
        <v>6</v>
      </c>
      <c r="B8" s="32">
        <v>491458</v>
      </c>
      <c r="C8" s="33">
        <f>2746.11+124262.9+563.8+39878.32</f>
        <v>167451.13</v>
      </c>
      <c r="D8" s="68">
        <v>5184</v>
      </c>
      <c r="E8" s="33">
        <v>0</v>
      </c>
      <c r="F8" s="68">
        <v>98042</v>
      </c>
      <c r="G8" s="33">
        <f>1920+668081.13+125+1300</f>
        <v>671426.13</v>
      </c>
      <c r="H8" s="68">
        <v>0</v>
      </c>
      <c r="I8" s="33">
        <v>0</v>
      </c>
      <c r="J8" s="68">
        <v>3860</v>
      </c>
      <c r="K8" s="33">
        <v>1032</v>
      </c>
      <c r="L8" s="68">
        <v>0</v>
      </c>
      <c r="M8" s="33">
        <v>0</v>
      </c>
      <c r="N8" s="68">
        <v>0</v>
      </c>
      <c r="O8" s="33">
        <v>12295.71</v>
      </c>
      <c r="P8" s="34">
        <f>+C8+E8+G8+K8+O8+I8</f>
        <v>852204.97</v>
      </c>
      <c r="Q8" s="34">
        <f t="shared" si="0"/>
        <v>-253660.96999999997</v>
      </c>
      <c r="R8" s="5"/>
    </row>
    <row r="9" spans="1:17" ht="17.25">
      <c r="A9" s="31" t="s">
        <v>105</v>
      </c>
      <c r="B9" s="32">
        <v>1202609</v>
      </c>
      <c r="C9" s="33">
        <f>4814.57+283491.06+1249.05+72534.37+1985.63+19318.88+4024.38+55089.32</f>
        <v>442507.26</v>
      </c>
      <c r="D9" s="68">
        <v>10000</v>
      </c>
      <c r="E9" s="33">
        <v>8076.81</v>
      </c>
      <c r="F9" s="68">
        <v>23051</v>
      </c>
      <c r="G9" s="33">
        <f>2049+10122.5</f>
        <v>12171.5</v>
      </c>
      <c r="H9" s="68">
        <v>0</v>
      </c>
      <c r="I9" s="33">
        <v>0</v>
      </c>
      <c r="J9" s="68">
        <v>3860</v>
      </c>
      <c r="K9" s="33">
        <f>169+42300.72</f>
        <v>42469.72</v>
      </c>
      <c r="L9" s="68">
        <v>0</v>
      </c>
      <c r="M9" s="33">
        <v>0</v>
      </c>
      <c r="N9" s="68">
        <v>0</v>
      </c>
      <c r="O9" s="33">
        <v>31148.28</v>
      </c>
      <c r="P9" s="34">
        <f>+C9+E9+G9+K9+O9+I9</f>
        <v>536373.5700000001</v>
      </c>
      <c r="Q9" s="34">
        <f t="shared" si="0"/>
        <v>703146.4299999999</v>
      </c>
    </row>
    <row r="10" spans="1:17" ht="17.25">
      <c r="A10" s="31" t="s">
        <v>7</v>
      </c>
      <c r="B10" s="32">
        <v>418253</v>
      </c>
      <c r="C10" s="33">
        <f>2874.63+129762.3+3+13931.97</f>
        <v>146571.9</v>
      </c>
      <c r="D10" s="68">
        <v>10400</v>
      </c>
      <c r="E10" s="33">
        <f>1445.74+23056.34</f>
        <v>24502.08</v>
      </c>
      <c r="F10" s="68">
        <v>9500</v>
      </c>
      <c r="G10" s="33">
        <v>310</v>
      </c>
      <c r="H10" s="68">
        <v>0</v>
      </c>
      <c r="I10" s="33">
        <v>0</v>
      </c>
      <c r="J10" s="68">
        <v>13740</v>
      </c>
      <c r="K10" s="33">
        <v>1790</v>
      </c>
      <c r="L10" s="68">
        <v>0</v>
      </c>
      <c r="M10" s="33">
        <v>0</v>
      </c>
      <c r="N10" s="68">
        <v>0</v>
      </c>
      <c r="O10" s="33">
        <v>11440.79</v>
      </c>
      <c r="P10" s="34">
        <f>+C10+E10+G10+K10+O10+I10+M10</f>
        <v>184614.77</v>
      </c>
      <c r="Q10" s="34">
        <f t="shared" si="0"/>
        <v>267278.23</v>
      </c>
    </row>
    <row r="11" spans="1:19" ht="17.25">
      <c r="A11" s="31" t="s">
        <v>9</v>
      </c>
      <c r="B11" s="32">
        <v>808844</v>
      </c>
      <c r="C11" s="33">
        <f>5073.36+307647.42</f>
        <v>312720.77999999997</v>
      </c>
      <c r="D11" s="68">
        <v>4100</v>
      </c>
      <c r="E11" s="33">
        <f>2418.36+934.21</f>
        <v>3352.57</v>
      </c>
      <c r="F11" s="68">
        <v>199629</v>
      </c>
      <c r="G11" s="33">
        <f>4611.35+140373.74</f>
        <v>144985.09</v>
      </c>
      <c r="H11" s="68">
        <v>0</v>
      </c>
      <c r="I11" s="33">
        <v>0</v>
      </c>
      <c r="J11" s="68">
        <v>3860</v>
      </c>
      <c r="K11" s="33">
        <v>7229</v>
      </c>
      <c r="L11" s="68">
        <v>0</v>
      </c>
      <c r="M11" s="33">
        <v>0</v>
      </c>
      <c r="N11" s="68">
        <v>0</v>
      </c>
      <c r="O11" s="33">
        <v>32477.36</v>
      </c>
      <c r="P11" s="34">
        <f>+C11+E11+G11+K11+O11+I11</f>
        <v>500764.79999999993</v>
      </c>
      <c r="Q11" s="34">
        <f t="shared" si="0"/>
        <v>515668.20000000007</v>
      </c>
      <c r="S11" s="5"/>
    </row>
    <row r="12" spans="1:17" ht="17.25">
      <c r="A12" s="31" t="s">
        <v>8</v>
      </c>
      <c r="B12" s="32">
        <v>910276</v>
      </c>
      <c r="C12" s="33">
        <f>20238.65+252302.65+36.6+21542.25+1581.32+31548.56</f>
        <v>327250.02999999997</v>
      </c>
      <c r="D12" s="68">
        <v>677834</v>
      </c>
      <c r="E12" s="33">
        <f>131683.5+253901.51</f>
        <v>385585.01</v>
      </c>
      <c r="F12" s="68">
        <v>21260</v>
      </c>
      <c r="G12" s="33">
        <f>760.94+6367.79</f>
        <v>7128.73</v>
      </c>
      <c r="H12" s="68">
        <v>0</v>
      </c>
      <c r="I12" s="33">
        <v>714.56</v>
      </c>
      <c r="J12" s="68">
        <v>37058</v>
      </c>
      <c r="K12" s="33">
        <v>79696.12</v>
      </c>
      <c r="L12" s="68">
        <v>0</v>
      </c>
      <c r="M12" s="33">
        <v>1857.55</v>
      </c>
      <c r="N12" s="68">
        <v>0</v>
      </c>
      <c r="O12" s="33">
        <v>71531.2</v>
      </c>
      <c r="P12" s="34">
        <f>+C12+E12+G12+K12+O12+I12+M12</f>
        <v>873763.2000000001</v>
      </c>
      <c r="Q12" s="34">
        <f t="shared" si="0"/>
        <v>772664.7999999999</v>
      </c>
    </row>
    <row r="13" spans="1:17" ht="17.25">
      <c r="A13" s="31" t="s">
        <v>10</v>
      </c>
      <c r="B13" s="32">
        <v>193868</v>
      </c>
      <c r="C13" s="33">
        <f>532.86+68294.44</f>
        <v>68827.3</v>
      </c>
      <c r="D13" s="68">
        <v>0</v>
      </c>
      <c r="E13" s="33">
        <v>0</v>
      </c>
      <c r="F13" s="68">
        <v>2430</v>
      </c>
      <c r="G13" s="33">
        <f>185.92+2402.34</f>
        <v>2588.26</v>
      </c>
      <c r="H13" s="68">
        <v>0</v>
      </c>
      <c r="I13" s="33">
        <v>0</v>
      </c>
      <c r="J13" s="68">
        <v>0</v>
      </c>
      <c r="K13" s="33">
        <v>0</v>
      </c>
      <c r="L13" s="68">
        <v>0</v>
      </c>
      <c r="M13" s="33">
        <v>0</v>
      </c>
      <c r="N13" s="68">
        <v>0</v>
      </c>
      <c r="O13" s="33">
        <v>4764.33</v>
      </c>
      <c r="P13" s="34">
        <f>+C13+E13+G13+K13+O13+I13</f>
        <v>76179.89</v>
      </c>
      <c r="Q13" s="34">
        <f t="shared" si="0"/>
        <v>120118.11</v>
      </c>
    </row>
    <row r="14" spans="1:18" ht="18" thickBot="1">
      <c r="A14" s="38" t="s">
        <v>11</v>
      </c>
      <c r="B14" s="39">
        <f aca="true" t="shared" si="1" ref="B14:Q14">SUM(B7:B13)</f>
        <v>4655528</v>
      </c>
      <c r="C14" s="40">
        <f t="shared" si="1"/>
        <v>1773825.16</v>
      </c>
      <c r="D14" s="39">
        <f t="shared" si="1"/>
        <v>708518</v>
      </c>
      <c r="E14" s="40">
        <f t="shared" si="1"/>
        <v>421840.47000000003</v>
      </c>
      <c r="F14" s="77">
        <f t="shared" si="1"/>
        <v>1218780</v>
      </c>
      <c r="G14" s="40">
        <f t="shared" si="1"/>
        <v>847428.97</v>
      </c>
      <c r="H14" s="77">
        <f t="shared" si="1"/>
        <v>0</v>
      </c>
      <c r="I14" s="40">
        <f t="shared" si="1"/>
        <v>714.56</v>
      </c>
      <c r="J14" s="39">
        <f t="shared" si="1"/>
        <v>65266</v>
      </c>
      <c r="K14" s="40">
        <f t="shared" si="1"/>
        <v>132366.84</v>
      </c>
      <c r="L14" s="39">
        <f>SUM(L7:L13)</f>
        <v>0</v>
      </c>
      <c r="M14" s="40">
        <f>SUM(M7:M13)</f>
        <v>1857.55</v>
      </c>
      <c r="N14" s="39">
        <f t="shared" si="1"/>
        <v>300000</v>
      </c>
      <c r="O14" s="40">
        <f t="shared" si="1"/>
        <v>253729.87000000002</v>
      </c>
      <c r="P14" s="42">
        <f t="shared" si="1"/>
        <v>3431763.4200000004</v>
      </c>
      <c r="Q14" s="42">
        <f t="shared" si="1"/>
        <v>3516328.5799999996</v>
      </c>
      <c r="R14" s="48"/>
    </row>
    <row r="15" spans="1:17" ht="17.25" thickBot="1">
      <c r="A15" s="43" t="s">
        <v>31</v>
      </c>
      <c r="B15" s="44"/>
      <c r="C15" s="139">
        <f>+C14/B14</f>
        <v>0.3810148193717232</v>
      </c>
      <c r="D15" s="139"/>
      <c r="E15" s="139">
        <f>+E14/D14</f>
        <v>0.595384266878188</v>
      </c>
      <c r="F15" s="139"/>
      <c r="G15" s="139">
        <f>+G14/F14</f>
        <v>0.6953092190551207</v>
      </c>
      <c r="H15" s="45"/>
      <c r="I15" s="45"/>
      <c r="J15" s="45"/>
      <c r="K15" s="139">
        <f>+K14/J14</f>
        <v>2.028113259583857</v>
      </c>
      <c r="L15" s="47"/>
      <c r="M15" s="47"/>
      <c r="N15" s="47"/>
      <c r="O15" s="141">
        <f>+O14/N14</f>
        <v>0.8457662333333335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0"/>
      <c r="Q16" s="5"/>
    </row>
    <row r="17" ht="16.5">
      <c r="P17" s="5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27</v>
      </c>
      <c r="B48" s="62" t="s">
        <v>28</v>
      </c>
      <c r="C48" s="62" t="s">
        <v>29</v>
      </c>
      <c r="D48" s="5"/>
    </row>
    <row r="49" spans="1:3" ht="16.5">
      <c r="A49" s="1">
        <f>+B14</f>
        <v>4655528</v>
      </c>
      <c r="B49" s="52">
        <f>+C14</f>
        <v>1773825.16</v>
      </c>
      <c r="C49" s="62" t="s">
        <v>1</v>
      </c>
    </row>
    <row r="50" spans="1:3" ht="16.5">
      <c r="A50" s="1">
        <f>+D14</f>
        <v>708518</v>
      </c>
      <c r="B50" s="52">
        <f>+E14</f>
        <v>421840.47000000003</v>
      </c>
      <c r="C50" s="62" t="s">
        <v>2</v>
      </c>
    </row>
    <row r="51" spans="1:3" ht="16.5">
      <c r="A51" s="1">
        <f>+F14</f>
        <v>1218780</v>
      </c>
      <c r="B51" s="52">
        <f>+G14</f>
        <v>847428.97</v>
      </c>
      <c r="C51" s="62" t="s">
        <v>3</v>
      </c>
    </row>
    <row r="52" spans="1:3" ht="16.5">
      <c r="A52" s="78">
        <f>+H14</f>
        <v>0</v>
      </c>
      <c r="B52" s="52">
        <f>+I14</f>
        <v>714.56</v>
      </c>
      <c r="C52" s="62" t="s">
        <v>35</v>
      </c>
    </row>
    <row r="53" spans="1:3" ht="16.5">
      <c r="A53" s="1">
        <f>+J14</f>
        <v>65266</v>
      </c>
      <c r="B53" s="5">
        <f>+K14</f>
        <v>132366.84</v>
      </c>
      <c r="C53" s="62" t="s">
        <v>33</v>
      </c>
    </row>
    <row r="54" spans="1:3" ht="16.5">
      <c r="A54" s="1">
        <v>0</v>
      </c>
      <c r="B54" s="5">
        <f>+M14</f>
        <v>1857.55</v>
      </c>
      <c r="C54" s="62" t="s">
        <v>106</v>
      </c>
    </row>
    <row r="55" spans="1:3" ht="17.25">
      <c r="A55" s="1">
        <f>+N14</f>
        <v>300000</v>
      </c>
      <c r="B55" s="65">
        <f>+O14</f>
        <v>253729.87000000002</v>
      </c>
      <c r="C55" s="62" t="s">
        <v>36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mergeCells count="9">
    <mergeCell ref="N5:O5"/>
    <mergeCell ref="B5:C5"/>
    <mergeCell ref="D5:E5"/>
    <mergeCell ref="F5:G5"/>
    <mergeCell ref="L5:M5"/>
    <mergeCell ref="L2:M2"/>
    <mergeCell ref="B3:E3"/>
    <mergeCell ref="J5:K5"/>
    <mergeCell ref="B2:G2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4">
      <selection activeCell="P15" sqref="P15"/>
    </sheetView>
  </sheetViews>
  <sheetFormatPr defaultColWidth="11.421875" defaultRowHeight="15"/>
  <cols>
    <col min="1" max="1" width="18.421875" style="1" customWidth="1"/>
    <col min="2" max="2" width="9.140625" style="1" customWidth="1"/>
    <col min="3" max="3" width="12.421875" style="1" customWidth="1"/>
    <col min="4" max="4" width="7.7109375" style="1" customWidth="1"/>
    <col min="5" max="5" width="9.421875" style="1" customWidth="1"/>
    <col min="6" max="6" width="9.140625" style="1" customWidth="1"/>
    <col min="7" max="7" width="11.8515625" style="1" customWidth="1"/>
    <col min="8" max="8" width="9.140625" style="1" customWidth="1"/>
    <col min="9" max="9" width="12.281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9.421875" style="1" customWidth="1"/>
    <col min="14" max="14" width="7.7109375" style="1" customWidth="1"/>
    <col min="15" max="15" width="10.140625" style="1" customWidth="1"/>
    <col min="16" max="16" width="12.14062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111</v>
      </c>
      <c r="C2" s="165"/>
      <c r="D2" s="179"/>
      <c r="E2" s="179"/>
      <c r="F2" s="178"/>
      <c r="I2" s="174" t="s">
        <v>24</v>
      </c>
      <c r="J2" s="174"/>
      <c r="K2" s="150">
        <v>40664</v>
      </c>
      <c r="L2" s="122"/>
      <c r="M2" s="122"/>
      <c r="N2" s="123"/>
      <c r="O2" s="56"/>
    </row>
    <row r="3" spans="2:4" ht="16.5">
      <c r="B3" s="180"/>
      <c r="C3" s="180"/>
      <c r="D3" s="67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33</v>
      </c>
      <c r="K5" s="173"/>
      <c r="L5" s="172" t="s">
        <v>37</v>
      </c>
      <c r="M5" s="173"/>
      <c r="N5" s="172" t="s">
        <v>34</v>
      </c>
      <c r="O5" s="173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1251588</v>
      </c>
      <c r="C7" s="33">
        <f>8638.13+708046.01+1230.48+38318.72</f>
        <v>756233.34</v>
      </c>
      <c r="D7" s="32">
        <v>100726</v>
      </c>
      <c r="E7" s="33">
        <f>6348.73+6720.74</f>
        <v>13069.47</v>
      </c>
      <c r="F7" s="32">
        <v>346006</v>
      </c>
      <c r="G7" s="33">
        <f>93409.12+344723.86+3302.6+3009.36</f>
        <v>444444.93999999994</v>
      </c>
      <c r="H7" s="32">
        <v>1602993</v>
      </c>
      <c r="I7" s="33">
        <f>152952.01+776371.71+5050</f>
        <v>934373.72</v>
      </c>
      <c r="J7" s="32">
        <v>400</v>
      </c>
      <c r="K7" s="33">
        <f>4977.29+19292.63</f>
        <v>24269.920000000002</v>
      </c>
      <c r="L7" s="32">
        <v>0</v>
      </c>
      <c r="M7" s="37">
        <v>6166.57</v>
      </c>
      <c r="N7" s="32">
        <v>400000</v>
      </c>
      <c r="O7" s="33">
        <v>67280.63</v>
      </c>
      <c r="P7" s="34">
        <f>+C7+E7+G7+I7+K7+O7+M7</f>
        <v>2245838.5899999994</v>
      </c>
      <c r="Q7" s="34">
        <f aca="true" t="shared" si="0" ref="Q7:Q12">+B7+D7+F7+H7+J7+N7-P7</f>
        <v>1455874.4100000006</v>
      </c>
      <c r="R7" s="5"/>
    </row>
    <row r="8" spans="1:18" ht="17.25">
      <c r="A8" s="31" t="s">
        <v>76</v>
      </c>
      <c r="B8" s="32">
        <v>328024</v>
      </c>
      <c r="C8" s="33">
        <f>890.12+92804.81+3+8351.41</f>
        <v>102049.34</v>
      </c>
      <c r="D8" s="32">
        <v>18800</v>
      </c>
      <c r="E8" s="33">
        <f>2693.82+7286.19</f>
        <v>9980.01</v>
      </c>
      <c r="F8" s="32">
        <v>341466</v>
      </c>
      <c r="G8" s="33">
        <f>16020.29+316666</f>
        <v>332686.29</v>
      </c>
      <c r="H8" s="32">
        <v>1016600</v>
      </c>
      <c r="I8" s="33">
        <f>151188.19+598160.41</f>
        <v>749348.6000000001</v>
      </c>
      <c r="J8" s="32">
        <v>0</v>
      </c>
      <c r="K8" s="33">
        <v>1526.75</v>
      </c>
      <c r="L8" s="32">
        <v>0</v>
      </c>
      <c r="M8" s="37">
        <v>2615.35</v>
      </c>
      <c r="N8" s="32">
        <v>0</v>
      </c>
      <c r="O8" s="33">
        <v>23535.97</v>
      </c>
      <c r="P8" s="34">
        <f>+C8+E8+G8+I8+K8+O8+M8</f>
        <v>1221742.31</v>
      </c>
      <c r="Q8" s="34">
        <f t="shared" si="0"/>
        <v>483147.68999999994</v>
      </c>
      <c r="R8" s="5"/>
    </row>
    <row r="9" spans="1:18" ht="17.25">
      <c r="A9" s="31" t="s">
        <v>83</v>
      </c>
      <c r="B9" s="32">
        <v>3403691</v>
      </c>
      <c r="C9" s="33">
        <f>17647.36+1249938.95</f>
        <v>1267586.31</v>
      </c>
      <c r="D9" s="32">
        <v>31998</v>
      </c>
      <c r="E9" s="33">
        <f>1077.94+4054.84</f>
        <v>5132.780000000001</v>
      </c>
      <c r="F9" s="32">
        <v>626358</v>
      </c>
      <c r="G9" s="33">
        <f>38694.77+197857.51</f>
        <v>236552.28</v>
      </c>
      <c r="H9" s="32">
        <v>889767</v>
      </c>
      <c r="I9" s="33">
        <f>66097.6+372736.18</f>
        <v>438833.78</v>
      </c>
      <c r="J9" s="32">
        <v>0</v>
      </c>
      <c r="K9" s="33">
        <f>99.29+344.84</f>
        <v>444.13</v>
      </c>
      <c r="L9" s="32">
        <v>0</v>
      </c>
      <c r="M9" s="37">
        <f>200+2067</f>
        <v>2267</v>
      </c>
      <c r="N9" s="32">
        <v>0</v>
      </c>
      <c r="O9" s="33">
        <v>74785.41</v>
      </c>
      <c r="P9" s="34">
        <f>+C9+E9+G9+I9+K9+O9+M9</f>
        <v>2025601.69</v>
      </c>
      <c r="Q9" s="34">
        <f t="shared" si="0"/>
        <v>2926212.31</v>
      </c>
      <c r="R9" s="5"/>
    </row>
    <row r="10" spans="1:18" ht="17.25">
      <c r="A10" s="31" t="s">
        <v>131</v>
      </c>
      <c r="B10" s="32">
        <v>2732695</v>
      </c>
      <c r="C10" s="33">
        <f>25095.44+1007648.26</f>
        <v>1032743.7</v>
      </c>
      <c r="D10" s="32">
        <v>13959</v>
      </c>
      <c r="E10" s="33">
        <f>520.34+2736.05</f>
        <v>3256.3900000000003</v>
      </c>
      <c r="F10" s="32">
        <v>377643</v>
      </c>
      <c r="G10" s="33">
        <f>45238.8+64990.41</f>
        <v>110229.21</v>
      </c>
      <c r="H10" s="32">
        <v>0</v>
      </c>
      <c r="I10" s="33">
        <v>0</v>
      </c>
      <c r="J10" s="32">
        <v>2500</v>
      </c>
      <c r="K10" s="33">
        <v>0</v>
      </c>
      <c r="L10" s="32">
        <v>0</v>
      </c>
      <c r="M10" s="37">
        <v>0</v>
      </c>
      <c r="N10" s="32">
        <v>0</v>
      </c>
      <c r="O10" s="33">
        <v>63026.11</v>
      </c>
      <c r="P10" s="34">
        <f>+C10+E10+G10+I10+K10+O10+M10</f>
        <v>1209255.4100000001</v>
      </c>
      <c r="Q10" s="34">
        <f t="shared" si="0"/>
        <v>1917541.5899999999</v>
      </c>
      <c r="R10" s="5"/>
    </row>
    <row r="11" spans="1:18" ht="17.25">
      <c r="A11" s="31" t="s">
        <v>112</v>
      </c>
      <c r="B11" s="32">
        <v>888624</v>
      </c>
      <c r="C11" s="33">
        <f>11693.86+318123.19</f>
        <v>329817.05</v>
      </c>
      <c r="D11" s="32">
        <v>36127</v>
      </c>
      <c r="E11" s="33">
        <f>1727.64+3250.14</f>
        <v>4977.78</v>
      </c>
      <c r="F11" s="32">
        <v>232240</v>
      </c>
      <c r="G11" s="33">
        <f>27898.5+50214.82</f>
        <v>78113.32</v>
      </c>
      <c r="H11" s="32">
        <v>712421</v>
      </c>
      <c r="I11" s="33">
        <f>4910.64+302869.94</f>
        <v>307780.58</v>
      </c>
      <c r="J11" s="32">
        <v>4789</v>
      </c>
      <c r="K11" s="33">
        <v>709</v>
      </c>
      <c r="L11" s="32">
        <v>0</v>
      </c>
      <c r="M11" s="37">
        <v>0</v>
      </c>
      <c r="N11" s="32">
        <v>0</v>
      </c>
      <c r="O11" s="33">
        <v>102681.08</v>
      </c>
      <c r="P11" s="34">
        <f>+C11+E11+G11+I11+K11+O11</f>
        <v>824078.8099999999</v>
      </c>
      <c r="Q11" s="34">
        <f t="shared" si="0"/>
        <v>1050122.19</v>
      </c>
      <c r="R11" s="5"/>
    </row>
    <row r="12" spans="1:18" ht="17.25" hidden="1">
      <c r="A12" s="31" t="s">
        <v>77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8604622</v>
      </c>
      <c r="C13" s="40">
        <f t="shared" si="1"/>
        <v>3488429.74</v>
      </c>
      <c r="D13" s="39">
        <f t="shared" si="1"/>
        <v>201610</v>
      </c>
      <c r="E13" s="40">
        <f t="shared" si="1"/>
        <v>36416.43</v>
      </c>
      <c r="F13" s="39">
        <f t="shared" si="1"/>
        <v>1923713</v>
      </c>
      <c r="G13" s="40">
        <f t="shared" si="1"/>
        <v>1202026.04</v>
      </c>
      <c r="H13" s="39">
        <f t="shared" si="1"/>
        <v>4221781</v>
      </c>
      <c r="I13" s="40">
        <f t="shared" si="1"/>
        <v>2430336.68</v>
      </c>
      <c r="J13" s="39">
        <f t="shared" si="1"/>
        <v>7689</v>
      </c>
      <c r="K13" s="40">
        <f>SUM(K7:K12)</f>
        <v>26949.800000000003</v>
      </c>
      <c r="L13" s="39">
        <f>SUM(L7:L12)</f>
        <v>0</v>
      </c>
      <c r="M13" s="40">
        <f>SUM(M7:M12)</f>
        <v>11048.92</v>
      </c>
      <c r="N13" s="39">
        <f t="shared" si="1"/>
        <v>400000</v>
      </c>
      <c r="O13" s="40">
        <f>SUM(O7:O12)</f>
        <v>331309.2</v>
      </c>
      <c r="P13" s="42">
        <f t="shared" si="1"/>
        <v>7526516.81</v>
      </c>
      <c r="Q13" s="42">
        <f t="shared" si="1"/>
        <v>7832898.1899999995</v>
      </c>
      <c r="R13" s="5"/>
    </row>
    <row r="14" spans="1:17" ht="17.25" thickBot="1">
      <c r="A14" s="43" t="s">
        <v>31</v>
      </c>
      <c r="B14" s="44"/>
      <c r="C14" s="139">
        <f>+C13/B13</f>
        <v>0.40541347894189894</v>
      </c>
      <c r="D14" s="45"/>
      <c r="E14" s="139">
        <f>+E13/D13</f>
        <v>0.18062809384455136</v>
      </c>
      <c r="F14" s="45"/>
      <c r="G14" s="139">
        <f>+G13/F13</f>
        <v>0.6248468664504528</v>
      </c>
      <c r="H14" s="45"/>
      <c r="I14" s="139">
        <f>+I13/H13</f>
        <v>0.5756662129087227</v>
      </c>
      <c r="J14" s="45"/>
      <c r="K14" s="139">
        <f>+K13/J13</f>
        <v>3.5049811418910135</v>
      </c>
      <c r="L14" s="47"/>
      <c r="M14" s="47"/>
      <c r="N14" s="45"/>
      <c r="O14" s="141">
        <f>+O13/N13</f>
        <v>0.828273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</row>
    <row r="16" ht="16.5">
      <c r="P16" s="5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27</v>
      </c>
      <c r="B47" s="62" t="s">
        <v>28</v>
      </c>
      <c r="C47" s="62" t="s">
        <v>29</v>
      </c>
      <c r="D47" s="62"/>
      <c r="E47" s="63"/>
    </row>
    <row r="48" spans="1:3" ht="17.25">
      <c r="A48" s="64">
        <f>+B13</f>
        <v>8604622</v>
      </c>
      <c r="B48" s="65">
        <f>+C13</f>
        <v>3488429.74</v>
      </c>
      <c r="C48" s="62" t="s">
        <v>1</v>
      </c>
    </row>
    <row r="49" spans="1:3" ht="17.25">
      <c r="A49" s="64">
        <f>+D13</f>
        <v>201610</v>
      </c>
      <c r="B49" s="65">
        <f>+E13</f>
        <v>36416.43</v>
      </c>
      <c r="C49" s="62" t="s">
        <v>2</v>
      </c>
    </row>
    <row r="50" spans="1:3" ht="17.25">
      <c r="A50" s="64">
        <f>+F13</f>
        <v>1923713</v>
      </c>
      <c r="B50" s="65">
        <f>+G13</f>
        <v>1202026.04</v>
      </c>
      <c r="C50" s="62" t="s">
        <v>3</v>
      </c>
    </row>
    <row r="51" spans="1:3" ht="17.25">
      <c r="A51" s="64">
        <f>+H13</f>
        <v>4221781</v>
      </c>
      <c r="B51" s="65">
        <f>+I13</f>
        <v>2430336.68</v>
      </c>
      <c r="C51" s="62" t="s">
        <v>35</v>
      </c>
    </row>
    <row r="52" spans="1:3" ht="17.25">
      <c r="A52" s="64">
        <f>+J13</f>
        <v>7689</v>
      </c>
      <c r="B52" s="65">
        <f>+K13</f>
        <v>26949.800000000003</v>
      </c>
      <c r="C52" s="62" t="s">
        <v>33</v>
      </c>
    </row>
    <row r="53" spans="1:3" ht="17.25">
      <c r="A53" s="66">
        <f>+L13</f>
        <v>0</v>
      </c>
      <c r="B53" s="65">
        <f>+M13</f>
        <v>11048.92</v>
      </c>
      <c r="C53" s="62" t="s">
        <v>99</v>
      </c>
    </row>
    <row r="54" spans="1:3" ht="17.25">
      <c r="A54" s="64">
        <f>+N13</f>
        <v>400000</v>
      </c>
      <c r="B54" s="65">
        <f>+O13</f>
        <v>331309.2</v>
      </c>
      <c r="C54" s="62" t="s">
        <v>36</v>
      </c>
    </row>
    <row r="55" spans="1:3" ht="17.25">
      <c r="A55" s="64"/>
      <c r="B55" s="64"/>
      <c r="C55" s="62"/>
    </row>
    <row r="56" spans="1:2" ht="16.5">
      <c r="A56" s="1">
        <v>2809993</v>
      </c>
      <c r="B56" s="5">
        <v>749308.3</v>
      </c>
    </row>
  </sheetData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82" right="0.54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D16">
      <selection activeCell="P14" sqref="P14"/>
    </sheetView>
  </sheetViews>
  <sheetFormatPr defaultColWidth="11.421875" defaultRowHeight="15"/>
  <cols>
    <col min="1" max="1" width="14.140625" style="1" customWidth="1"/>
    <col min="2" max="2" width="9.28125" style="1" customWidth="1"/>
    <col min="3" max="3" width="12.421875" style="1" customWidth="1"/>
    <col min="4" max="4" width="7.8515625" style="1" customWidth="1"/>
    <col min="5" max="5" width="10.57421875" style="1" customWidth="1"/>
    <col min="6" max="6" width="9.00390625" style="1" customWidth="1"/>
    <col min="7" max="7" width="11.140625" style="1" customWidth="1"/>
    <col min="8" max="8" width="7.57421875" style="1" customWidth="1"/>
    <col min="9" max="9" width="9.57421875" style="1" customWidth="1"/>
    <col min="10" max="10" width="8.140625" style="1" customWidth="1"/>
    <col min="11" max="11" width="9.140625" style="1" customWidth="1"/>
    <col min="12" max="12" width="10.140625" style="1" customWidth="1"/>
    <col min="13" max="13" width="13.140625" style="1" customWidth="1"/>
    <col min="14" max="14" width="9.28125" style="1" customWidth="1"/>
    <col min="15" max="15" width="10.140625" style="1" customWidth="1"/>
    <col min="16" max="17" width="12.8515625" style="1" customWidth="1"/>
    <col min="18" max="18" width="15.00390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113</v>
      </c>
      <c r="C2" s="181"/>
      <c r="D2" s="181"/>
      <c r="E2" s="170"/>
      <c r="F2" s="170"/>
      <c r="L2" s="174" t="s">
        <v>24</v>
      </c>
      <c r="M2" s="175"/>
      <c r="N2" s="150">
        <v>40664</v>
      </c>
      <c r="O2" s="56"/>
    </row>
    <row r="3" spans="2:4" ht="16.5">
      <c r="B3" s="180"/>
      <c r="C3" s="163"/>
      <c r="D3" s="16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82</v>
      </c>
      <c r="K5" s="173"/>
      <c r="L5" s="172" t="s">
        <v>37</v>
      </c>
      <c r="M5" s="173"/>
      <c r="N5" s="172" t="s">
        <v>34</v>
      </c>
      <c r="O5" s="173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563186</v>
      </c>
      <c r="C7" s="33">
        <f>578.58+157464.26+569.55+23913.62+183.19+99657.97</f>
        <v>282367.17</v>
      </c>
      <c r="D7" s="32">
        <f>4813</f>
        <v>4813</v>
      </c>
      <c r="E7" s="33">
        <f>7725.55+8824.45</f>
        <v>16550</v>
      </c>
      <c r="F7" s="32">
        <v>139744</v>
      </c>
      <c r="G7" s="33">
        <f>43959.3+128329.89+6091.32+17199.62</f>
        <v>195580.13</v>
      </c>
      <c r="H7" s="32">
        <v>120000</v>
      </c>
      <c r="I7" s="37">
        <v>10631</v>
      </c>
      <c r="J7" s="32">
        <v>6000</v>
      </c>
      <c r="K7" s="33">
        <f>249+11814</f>
        <v>12063</v>
      </c>
      <c r="L7" s="32">
        <v>2000000</v>
      </c>
      <c r="M7" s="33">
        <f>128934+571942.71</f>
        <v>700876.71</v>
      </c>
      <c r="N7" s="32">
        <v>400000</v>
      </c>
      <c r="O7" s="33">
        <v>60983.14</v>
      </c>
      <c r="P7" s="34">
        <f>+O7+M7+K7+G7+E7+C7+I7</f>
        <v>1279051.15</v>
      </c>
      <c r="Q7" s="34">
        <f>+B7+D7+F7+J7+L7+N7-P7+H7</f>
        <v>1954691.85</v>
      </c>
      <c r="R7" s="5"/>
    </row>
    <row r="8" spans="1:18" ht="17.25">
      <c r="A8" s="31" t="s">
        <v>14</v>
      </c>
      <c r="B8" s="32">
        <v>1428732</v>
      </c>
      <c r="C8" s="33">
        <f>2203.71+85520.14+5171.56+212343.31+2923.82+180008.95+335.33+20090</f>
        <v>508596.82</v>
      </c>
      <c r="D8" s="32">
        <v>6825</v>
      </c>
      <c r="E8" s="33">
        <v>2441.84</v>
      </c>
      <c r="F8" s="79">
        <v>51100</v>
      </c>
      <c r="G8" s="80">
        <f>3715+70928.82</f>
        <v>74643.82</v>
      </c>
      <c r="H8" s="81">
        <v>0</v>
      </c>
      <c r="I8" s="82">
        <v>0</v>
      </c>
      <c r="J8" s="79">
        <v>15000</v>
      </c>
      <c r="K8" s="80">
        <v>985</v>
      </c>
      <c r="L8" s="83">
        <v>0</v>
      </c>
      <c r="M8" s="80">
        <v>1160</v>
      </c>
      <c r="N8" s="83">
        <v>0</v>
      </c>
      <c r="O8" s="80">
        <v>34060.32</v>
      </c>
      <c r="P8" s="34">
        <f>+O8+M8+K8+G8+E8+C8</f>
        <v>621887.8</v>
      </c>
      <c r="Q8" s="34">
        <f>+B8+D8+F8+J8+L8+N8-P8+H8</f>
        <v>879769.2</v>
      </c>
      <c r="R8" s="5"/>
    </row>
    <row r="9" spans="1:18" ht="17.25">
      <c r="A9" s="31" t="s">
        <v>13</v>
      </c>
      <c r="B9" s="32">
        <v>623101</v>
      </c>
      <c r="C9" s="33">
        <f>3132.61+116617.47+6968.75+76053.96+140.21+33554.48</f>
        <v>236467.48</v>
      </c>
      <c r="D9" s="32">
        <v>38923</v>
      </c>
      <c r="E9" s="33">
        <f>10919.89+53996.23</f>
        <v>64916.12</v>
      </c>
      <c r="F9" s="32">
        <v>116939</v>
      </c>
      <c r="G9" s="33">
        <f>28846.85+56.33</f>
        <v>28903.18</v>
      </c>
      <c r="H9" s="32">
        <v>5000</v>
      </c>
      <c r="I9" s="37">
        <v>0</v>
      </c>
      <c r="J9" s="32">
        <f>3000+60000</f>
        <v>63000</v>
      </c>
      <c r="K9" s="33">
        <v>13383.41</v>
      </c>
      <c r="L9" s="32">
        <v>2555699</v>
      </c>
      <c r="M9" s="33">
        <f>150559.32+1398245.27+24119.37+215124.98</f>
        <v>1788048.9400000002</v>
      </c>
      <c r="N9" s="32">
        <v>0</v>
      </c>
      <c r="O9" s="33">
        <v>116634.89</v>
      </c>
      <c r="P9" s="34">
        <f>+O9+M9+K9+G9+E9+C9+I9</f>
        <v>2248354.02</v>
      </c>
      <c r="Q9" s="34">
        <f>+B9+D9+F9+J9+L9+N9-P9+H9</f>
        <v>1154307.98</v>
      </c>
      <c r="R9" s="5"/>
    </row>
    <row r="10" spans="1:18" ht="17.25">
      <c r="A10" s="31" t="s">
        <v>81</v>
      </c>
      <c r="B10" s="32">
        <v>1310290</v>
      </c>
      <c r="C10" s="33">
        <f>4263.47+201282.66+7881.82+66815.96+3149.34+129621.97+980.84+60589.74</f>
        <v>474585.8000000001</v>
      </c>
      <c r="D10" s="32">
        <f>34377</f>
        <v>34377</v>
      </c>
      <c r="E10" s="33">
        <f>9710.4+91025.35</f>
        <v>100735.75</v>
      </c>
      <c r="F10" s="32">
        <v>822607</v>
      </c>
      <c r="G10" s="33">
        <f>315110.67+41.24</f>
        <v>315151.91</v>
      </c>
      <c r="H10" s="32">
        <v>0</v>
      </c>
      <c r="I10" s="37">
        <v>0</v>
      </c>
      <c r="J10" s="32">
        <v>39974</v>
      </c>
      <c r="K10" s="33">
        <v>2480.1</v>
      </c>
      <c r="L10" s="32">
        <v>11305360</v>
      </c>
      <c r="M10" s="33">
        <f>315530.15+8336541.11+2683.7</f>
        <v>8654754.959999999</v>
      </c>
      <c r="N10" s="32">
        <v>34000</v>
      </c>
      <c r="O10" s="33">
        <v>108977.28</v>
      </c>
      <c r="P10" s="34">
        <f>+O10+M10+K10+I10+G10+E10+C10</f>
        <v>9656685.799999999</v>
      </c>
      <c r="Q10" s="34">
        <f>+N10+L10+J10+H10+F10+D10+B10-P10</f>
        <v>3889922.200000001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4"/>
    </row>
    <row r="12" spans="1:17" ht="18" thickBot="1">
      <c r="A12" s="38" t="s">
        <v>11</v>
      </c>
      <c r="B12" s="39">
        <f aca="true" t="shared" si="0" ref="B12:Q12">SUM(B7:B11)</f>
        <v>3925309</v>
      </c>
      <c r="C12" s="40">
        <f t="shared" si="0"/>
        <v>1502017.27</v>
      </c>
      <c r="D12" s="39">
        <f t="shared" si="0"/>
        <v>84938</v>
      </c>
      <c r="E12" s="40">
        <f t="shared" si="0"/>
        <v>184643.71000000002</v>
      </c>
      <c r="F12" s="39">
        <f t="shared" si="0"/>
        <v>1130390</v>
      </c>
      <c r="G12" s="40">
        <f t="shared" si="0"/>
        <v>614279.04</v>
      </c>
      <c r="H12" s="39">
        <f t="shared" si="0"/>
        <v>125000</v>
      </c>
      <c r="I12" s="41">
        <f t="shared" si="0"/>
        <v>10631</v>
      </c>
      <c r="J12" s="39">
        <f t="shared" si="0"/>
        <v>123974</v>
      </c>
      <c r="K12" s="40">
        <f t="shared" si="0"/>
        <v>28911.51</v>
      </c>
      <c r="L12" s="39">
        <f t="shared" si="0"/>
        <v>15861059</v>
      </c>
      <c r="M12" s="40">
        <f t="shared" si="0"/>
        <v>11144840.61</v>
      </c>
      <c r="N12" s="39">
        <f t="shared" si="0"/>
        <v>434000</v>
      </c>
      <c r="O12" s="40">
        <f t="shared" si="0"/>
        <v>320655.63</v>
      </c>
      <c r="P12" s="42">
        <f t="shared" si="0"/>
        <v>13805978.77</v>
      </c>
      <c r="Q12" s="42">
        <f t="shared" si="0"/>
        <v>7878691.23</v>
      </c>
    </row>
    <row r="13" spans="1:17" ht="17.25" thickBot="1">
      <c r="A13" s="43" t="s">
        <v>31</v>
      </c>
      <c r="B13" s="44"/>
      <c r="C13" s="139">
        <f>+C12/B12</f>
        <v>0.38264943473239943</v>
      </c>
      <c r="D13" s="45"/>
      <c r="E13" s="139">
        <f>+E12/D12</f>
        <v>2.1738645835786103</v>
      </c>
      <c r="F13" s="45"/>
      <c r="G13" s="139">
        <f>+G12/F12</f>
        <v>0.5434222171109087</v>
      </c>
      <c r="H13" s="45"/>
      <c r="I13" s="139">
        <f>+I12/H12</f>
        <v>0.085048</v>
      </c>
      <c r="J13" s="45"/>
      <c r="K13" s="139">
        <f>+K12/J12</f>
        <v>0.2332062367915853</v>
      </c>
      <c r="L13" s="45"/>
      <c r="M13" s="139">
        <f>+M12/L12</f>
        <v>0.702654255935874</v>
      </c>
      <c r="N13" s="47"/>
      <c r="O13" s="141">
        <f>+O12/N12</f>
        <v>0.7388378571428571</v>
      </c>
      <c r="P13" s="58"/>
      <c r="Q13" s="5"/>
    </row>
    <row r="14" spans="12:17" ht="16.5">
      <c r="L14" s="78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6" ht="17.25">
      <c r="C39" s="65"/>
      <c r="D39" s="5"/>
      <c r="E39" s="53"/>
      <c r="F39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ht="17.25">
      <c r="C45" s="64"/>
    </row>
    <row r="48" spans="4:5" ht="16.5">
      <c r="D48" s="62"/>
      <c r="E48" s="62"/>
    </row>
    <row r="49" spans="1:5" ht="16.5">
      <c r="A49" s="62" t="s">
        <v>27</v>
      </c>
      <c r="B49" s="62" t="s">
        <v>28</v>
      </c>
      <c r="C49" s="62" t="s">
        <v>29</v>
      </c>
      <c r="D49" s="62"/>
      <c r="E49" s="62"/>
    </row>
    <row r="50" spans="1:3" ht="17.25">
      <c r="A50" s="64">
        <f>+B12</f>
        <v>3925309</v>
      </c>
      <c r="B50" s="65">
        <f>+C12</f>
        <v>1502017.27</v>
      </c>
      <c r="C50" s="62" t="s">
        <v>1</v>
      </c>
    </row>
    <row r="51" spans="1:3" ht="17.25">
      <c r="A51" s="64">
        <f>+D12</f>
        <v>84938</v>
      </c>
      <c r="B51" s="65">
        <f>+E12</f>
        <v>184643.71000000002</v>
      </c>
      <c r="C51" s="62" t="s">
        <v>2</v>
      </c>
    </row>
    <row r="52" spans="1:3" ht="17.25">
      <c r="A52" s="64">
        <f>+F12</f>
        <v>1130390</v>
      </c>
      <c r="B52" s="65">
        <f>+G12</f>
        <v>614279.04</v>
      </c>
      <c r="C52" s="62" t="s">
        <v>3</v>
      </c>
    </row>
    <row r="53" spans="1:3" ht="17.25">
      <c r="A53" s="66">
        <f>+H12</f>
        <v>125000</v>
      </c>
      <c r="B53" s="65">
        <f>+I12</f>
        <v>10631</v>
      </c>
      <c r="C53" s="62" t="s">
        <v>35</v>
      </c>
    </row>
    <row r="54" spans="1:3" ht="17.25">
      <c r="A54" s="64">
        <f>+J12</f>
        <v>123974</v>
      </c>
      <c r="B54" s="65">
        <f>+K12</f>
        <v>28911.51</v>
      </c>
      <c r="C54" s="62" t="s">
        <v>33</v>
      </c>
    </row>
    <row r="55" spans="1:3" ht="17.25">
      <c r="A55" s="64">
        <f>+L12</f>
        <v>15861059</v>
      </c>
      <c r="B55" s="65">
        <f>+M12</f>
        <v>11144840.61</v>
      </c>
      <c r="C55" s="62" t="s">
        <v>30</v>
      </c>
    </row>
    <row r="56" spans="1:3" ht="17.25">
      <c r="A56" s="64">
        <f>+N12</f>
        <v>434000</v>
      </c>
      <c r="B56" s="65">
        <f>+O12</f>
        <v>320655.63</v>
      </c>
      <c r="C56" s="62" t="s">
        <v>36</v>
      </c>
    </row>
    <row r="57" spans="1:2" ht="17.25">
      <c r="A57" s="64">
        <v>2832908</v>
      </c>
      <c r="B57" s="65">
        <v>692231.2</v>
      </c>
    </row>
    <row r="58" spans="1:2" ht="17.25">
      <c r="A58" s="64"/>
      <c r="B58" s="64"/>
    </row>
    <row r="59" spans="1:2" ht="17.25">
      <c r="A59" s="64"/>
      <c r="B59" s="64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71" right="0.48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I7">
      <selection activeCell="P15" sqref="P15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9.8515625" style="1" customWidth="1"/>
    <col min="6" max="6" width="9.421875" style="1" customWidth="1"/>
    <col min="7" max="7" width="11.85156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7.8515625" style="1" customWidth="1"/>
    <col min="15" max="15" width="10.28125" style="1" customWidth="1"/>
    <col min="16" max="16" width="12.28125" style="1" customWidth="1"/>
    <col min="17" max="17" width="12.57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114</v>
      </c>
      <c r="C2" s="181"/>
      <c r="D2" s="181"/>
      <c r="E2" s="181"/>
      <c r="F2" s="177"/>
      <c r="G2" s="177"/>
      <c r="H2" s="177"/>
      <c r="I2" s="178"/>
      <c r="J2" s="21"/>
      <c r="K2" s="174" t="s">
        <v>24</v>
      </c>
      <c r="L2" s="175"/>
      <c r="M2" s="150">
        <v>40664</v>
      </c>
      <c r="O2" s="56"/>
    </row>
    <row r="3" spans="2:16" ht="16.5">
      <c r="B3" s="180"/>
      <c r="C3" s="163"/>
      <c r="D3" s="163"/>
      <c r="E3" s="163"/>
      <c r="F3" s="67"/>
      <c r="P3" s="85"/>
    </row>
    <row r="5" ht="17.25" thickBot="1"/>
    <row r="6" spans="1:17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33</v>
      </c>
      <c r="K6" s="173"/>
      <c r="L6" s="172" t="s">
        <v>37</v>
      </c>
      <c r="M6" s="173"/>
      <c r="N6" s="172" t="s">
        <v>34</v>
      </c>
      <c r="O6" s="173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8" ht="17.25">
      <c r="A8" s="86" t="s">
        <v>15</v>
      </c>
      <c r="B8" s="32">
        <v>717333</v>
      </c>
      <c r="C8" s="33">
        <f>2950.24+300334.88+1445.1+26624.96+3+10989.46+12+60919.94</f>
        <v>403279.58</v>
      </c>
      <c r="D8" s="32">
        <v>35244</v>
      </c>
      <c r="E8" s="33">
        <f>4026.61+5247.69</f>
        <v>9274.3</v>
      </c>
      <c r="F8" s="32">
        <v>873641</v>
      </c>
      <c r="G8" s="33">
        <f>58832.08+333462.14</f>
        <v>392294.22000000003</v>
      </c>
      <c r="H8" s="32">
        <v>0</v>
      </c>
      <c r="I8" s="33">
        <v>0</v>
      </c>
      <c r="J8" s="32">
        <v>12001</v>
      </c>
      <c r="K8" s="33">
        <v>26216.53</v>
      </c>
      <c r="L8" s="32">
        <v>0</v>
      </c>
      <c r="M8" s="37">
        <v>5827.02</v>
      </c>
      <c r="N8" s="32">
        <v>600000</v>
      </c>
      <c r="O8" s="33">
        <v>263077.24</v>
      </c>
      <c r="P8" s="34">
        <f>+O8+K8+G8+E8+C8+I8+M8</f>
        <v>1099968.8900000001</v>
      </c>
      <c r="Q8" s="34">
        <f>+B8+D8+F8+H8+J8+N8-P8</f>
        <v>1138250.1099999999</v>
      </c>
      <c r="R8" s="5"/>
    </row>
    <row r="9" spans="1:18" ht="17.25">
      <c r="A9" s="86" t="s">
        <v>90</v>
      </c>
      <c r="B9" s="32">
        <v>2564554</v>
      </c>
      <c r="C9" s="33">
        <f>24+102369.77+7755.17+436102.97+14108.52+239963.08+6173.4+222709.95</f>
        <v>1029206.8599999999</v>
      </c>
      <c r="D9" s="32">
        <v>63681</v>
      </c>
      <c r="E9" s="33">
        <f>2333.75+18549.13+112</f>
        <v>20994.88</v>
      </c>
      <c r="F9" s="32">
        <v>55505</v>
      </c>
      <c r="G9" s="33">
        <f>482.04+78365.75+408.68+1227.77+1539.75</f>
        <v>82023.98999999999</v>
      </c>
      <c r="H9" s="32">
        <v>4000</v>
      </c>
      <c r="I9" s="33">
        <v>0</v>
      </c>
      <c r="J9" s="32">
        <v>54400</v>
      </c>
      <c r="K9" s="33">
        <f>270+2450</f>
        <v>2720</v>
      </c>
      <c r="L9" s="32">
        <v>0</v>
      </c>
      <c r="M9" s="37">
        <v>1427.17</v>
      </c>
      <c r="N9" s="32">
        <v>0</v>
      </c>
      <c r="O9" s="33">
        <v>74261.4</v>
      </c>
      <c r="P9" s="34">
        <f>+O9+K9+G9+E9+C9+M9</f>
        <v>1210634.2999999998</v>
      </c>
      <c r="Q9" s="34">
        <f>+B9+D9+F9+H9+J9+N9-P9</f>
        <v>1531505.7000000002</v>
      </c>
      <c r="R9" s="5"/>
    </row>
    <row r="10" spans="1:18" ht="17.25">
      <c r="A10" s="86" t="s">
        <v>89</v>
      </c>
      <c r="B10" s="32">
        <v>2809106</v>
      </c>
      <c r="C10" s="33">
        <f>13945.01+275068.5+6+30997.32+62883.08+823968.93</f>
        <v>1206868.84</v>
      </c>
      <c r="D10" s="32">
        <v>101570</v>
      </c>
      <c r="E10" s="33">
        <f>26.35+21915.34</f>
        <v>21941.69</v>
      </c>
      <c r="F10" s="32">
        <v>1270487</v>
      </c>
      <c r="G10" s="33">
        <f>172074.86+469542.45+6998.01+27267.97</f>
        <v>675883.29</v>
      </c>
      <c r="H10" s="32">
        <v>0</v>
      </c>
      <c r="I10" s="33">
        <v>0</v>
      </c>
      <c r="J10" s="32">
        <v>0</v>
      </c>
      <c r="K10" s="33">
        <f>298.8+328.46</f>
        <v>627.26</v>
      </c>
      <c r="L10" s="32">
        <v>0</v>
      </c>
      <c r="M10" s="37">
        <v>1261.48</v>
      </c>
      <c r="N10" s="32">
        <v>0</v>
      </c>
      <c r="O10" s="33">
        <v>160242.1</v>
      </c>
      <c r="P10" s="34">
        <f>+O10+K10+G10+E10+C10+M10+I10</f>
        <v>2066824.6600000001</v>
      </c>
      <c r="Q10" s="34">
        <f>+B10+D10+F10+H10+J10+N10-P10</f>
        <v>2114338.34</v>
      </c>
      <c r="R10" s="5"/>
    </row>
    <row r="11" spans="1:18" ht="17.25">
      <c r="A11" s="86" t="s">
        <v>91</v>
      </c>
      <c r="B11" s="32">
        <v>3242240</v>
      </c>
      <c r="C11" s="33">
        <f>4526.96+39788.44+67599.12+1039439.34+3078.2+92663.92</f>
        <v>1247095.9799999997</v>
      </c>
      <c r="D11" s="32">
        <v>222807</v>
      </c>
      <c r="E11" s="33">
        <f>18704.01+17461.53</f>
        <v>36165.53999999999</v>
      </c>
      <c r="F11" s="32">
        <v>223209</v>
      </c>
      <c r="G11" s="33">
        <f>28562.75+49733.3+130.06*2+2000+7033.35</f>
        <v>87589.52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7">
        <v>797.3</v>
      </c>
      <c r="N11" s="32">
        <v>0</v>
      </c>
      <c r="O11" s="33">
        <v>72469.28</v>
      </c>
      <c r="P11" s="34">
        <f>+O11+K11+G11+E11+C11+M11</f>
        <v>1444117.6199999999</v>
      </c>
      <c r="Q11" s="34">
        <f>+B11+D11+F11+H11+J11+N11+L11-P11</f>
        <v>2244138.38</v>
      </c>
      <c r="R11" s="5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8" ht="18" thickBot="1">
      <c r="A13" s="38" t="s">
        <v>11</v>
      </c>
      <c r="B13" s="39">
        <f aca="true" t="shared" si="0" ref="B13:Q13">SUM(B8:B12)</f>
        <v>9333233</v>
      </c>
      <c r="C13" s="40">
        <f t="shared" si="0"/>
        <v>3886451.26</v>
      </c>
      <c r="D13" s="39">
        <f t="shared" si="0"/>
        <v>423302</v>
      </c>
      <c r="E13" s="40">
        <f t="shared" si="0"/>
        <v>88376.40999999999</v>
      </c>
      <c r="F13" s="39">
        <f t="shared" si="0"/>
        <v>2422842</v>
      </c>
      <c r="G13" s="40">
        <f t="shared" si="0"/>
        <v>1237791.02</v>
      </c>
      <c r="H13" s="39">
        <f t="shared" si="0"/>
        <v>4000</v>
      </c>
      <c r="I13" s="40">
        <f t="shared" si="0"/>
        <v>0</v>
      </c>
      <c r="J13" s="39">
        <f t="shared" si="0"/>
        <v>66401</v>
      </c>
      <c r="K13" s="40">
        <f t="shared" si="0"/>
        <v>29563.789999999997</v>
      </c>
      <c r="L13" s="39">
        <f>SUM(L8:L12)</f>
        <v>0</v>
      </c>
      <c r="M13" s="40">
        <f>SUM(M8:M12)</f>
        <v>9312.97</v>
      </c>
      <c r="N13" s="39">
        <f t="shared" si="0"/>
        <v>600000</v>
      </c>
      <c r="O13" s="40">
        <f t="shared" si="0"/>
        <v>570050.02</v>
      </c>
      <c r="P13" s="87">
        <f t="shared" si="0"/>
        <v>5821545.47</v>
      </c>
      <c r="Q13" s="152">
        <f t="shared" si="0"/>
        <v>7028232.53</v>
      </c>
      <c r="R13" s="5"/>
    </row>
    <row r="14" spans="1:17" ht="17.25" thickBot="1">
      <c r="A14" s="38" t="s">
        <v>31</v>
      </c>
      <c r="B14" s="88"/>
      <c r="C14" s="93">
        <f>+C13/B13</f>
        <v>0.41640996855001905</v>
      </c>
      <c r="D14" s="89"/>
      <c r="E14" s="93">
        <f>+E13/D13</f>
        <v>0.20877862613453277</v>
      </c>
      <c r="F14" s="89"/>
      <c r="G14" s="93">
        <f>+G13/F13</f>
        <v>0.5108839206188435</v>
      </c>
      <c r="H14" s="89"/>
      <c r="I14" s="93">
        <f>+I13/H13</f>
        <v>0</v>
      </c>
      <c r="J14" s="89"/>
      <c r="K14" s="93">
        <f>+K13/J13</f>
        <v>0.44523109591723015</v>
      </c>
      <c r="L14" s="90"/>
      <c r="M14" s="47"/>
      <c r="N14" s="45"/>
      <c r="O14" s="141">
        <f>+O13/N13</f>
        <v>0.9500833666666667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78"/>
    </row>
    <row r="16" ht="16.5">
      <c r="P16" s="5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27</v>
      </c>
      <c r="B45" s="71" t="s">
        <v>28</v>
      </c>
      <c r="C45" s="91" t="s">
        <v>29</v>
      </c>
      <c r="D45" s="5"/>
      <c r="F45" s="53"/>
    </row>
    <row r="46" spans="1:6" ht="17.25">
      <c r="A46" s="64">
        <f>+B13</f>
        <v>9333233</v>
      </c>
      <c r="B46" s="65">
        <f>+C13</f>
        <v>3886451.26</v>
      </c>
      <c r="C46" s="91" t="s">
        <v>1</v>
      </c>
      <c r="D46" s="5"/>
      <c r="F46" s="53"/>
    </row>
    <row r="47" spans="1:6" ht="17.25">
      <c r="A47" s="64">
        <f>+D13</f>
        <v>423302</v>
      </c>
      <c r="B47" s="65">
        <f>+E13</f>
        <v>88376.40999999999</v>
      </c>
      <c r="C47" s="91" t="s">
        <v>2</v>
      </c>
      <c r="D47" s="5"/>
      <c r="F47" s="53"/>
    </row>
    <row r="48" spans="1:6" ht="17.25">
      <c r="A48" s="64">
        <f>+F13</f>
        <v>2422842</v>
      </c>
      <c r="B48" s="65">
        <f>+G13</f>
        <v>1237791.02</v>
      </c>
      <c r="C48" s="91" t="s">
        <v>3</v>
      </c>
      <c r="D48" s="5"/>
      <c r="F48" s="53"/>
    </row>
    <row r="49" spans="1:6" ht="17.25">
      <c r="A49" s="66">
        <f>+H13</f>
        <v>4000</v>
      </c>
      <c r="B49" s="65">
        <f>+I13</f>
        <v>0</v>
      </c>
      <c r="C49" s="92" t="s">
        <v>35</v>
      </c>
      <c r="D49" s="5"/>
      <c r="F49" s="53"/>
    </row>
    <row r="50" spans="1:3" ht="17.25">
      <c r="A50" s="64">
        <f>+J13</f>
        <v>66401</v>
      </c>
      <c r="B50" s="65">
        <f>+K13</f>
        <v>29563.789999999997</v>
      </c>
      <c r="C50" s="62" t="s">
        <v>33</v>
      </c>
    </row>
    <row r="51" spans="1:3" ht="17.25">
      <c r="A51" s="66">
        <f>+L13</f>
        <v>0</v>
      </c>
      <c r="B51" s="65">
        <f>+M13</f>
        <v>9312.97</v>
      </c>
      <c r="C51" s="62" t="s">
        <v>104</v>
      </c>
    </row>
    <row r="52" spans="1:3" ht="17.25">
      <c r="A52" s="64">
        <f>+N13</f>
        <v>600000</v>
      </c>
      <c r="B52" s="65">
        <f>+O13</f>
        <v>570050.02</v>
      </c>
      <c r="C52" s="62" t="s">
        <v>36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78" right="0.57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H1">
      <selection activeCell="P14" sqref="P14"/>
    </sheetView>
  </sheetViews>
  <sheetFormatPr defaultColWidth="11.421875" defaultRowHeight="15"/>
  <cols>
    <col min="1" max="1" width="21.0039062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9.57421875" style="1" customWidth="1"/>
    <col min="8" max="8" width="7.57421875" style="1" customWidth="1"/>
    <col min="9" max="9" width="9.8515625" style="1" customWidth="1"/>
    <col min="10" max="10" width="7.28125" style="1" customWidth="1"/>
    <col min="11" max="11" width="9.42187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140625" style="1" customWidth="1"/>
    <col min="16" max="16" width="10.8515625" style="1" customWidth="1"/>
    <col min="17" max="17" width="11.8515625" style="1" customWidth="1"/>
    <col min="18" max="16384" width="11.421875" style="1" customWidth="1"/>
  </cols>
  <sheetData>
    <row r="2" spans="1:15" ht="18">
      <c r="A2" s="146" t="s">
        <v>0</v>
      </c>
      <c r="B2" s="165" t="s">
        <v>115</v>
      </c>
      <c r="C2" s="165"/>
      <c r="D2" s="170"/>
      <c r="E2" s="170"/>
      <c r="I2" s="174" t="s">
        <v>24</v>
      </c>
      <c r="J2" s="174"/>
      <c r="K2" s="150">
        <v>40664</v>
      </c>
      <c r="L2" s="125"/>
      <c r="M2" s="125"/>
      <c r="O2" s="23"/>
    </row>
    <row r="3" spans="2:3" ht="16.5">
      <c r="B3" s="180"/>
      <c r="C3" s="180"/>
    </row>
    <row r="5" ht="17.25" thickBot="1"/>
    <row r="6" spans="1:17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33</v>
      </c>
      <c r="K6" s="173"/>
      <c r="L6" s="127" t="s">
        <v>37</v>
      </c>
      <c r="M6" s="75"/>
      <c r="N6" s="172" t="s">
        <v>34</v>
      </c>
      <c r="O6" s="173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8" ht="17.25">
      <c r="A8" s="31" t="s">
        <v>100</v>
      </c>
      <c r="B8" s="32">
        <v>890569</v>
      </c>
      <c r="C8" s="33">
        <f>27991.42+292383.81</f>
        <v>320375.23</v>
      </c>
      <c r="D8" s="68">
        <v>69700</v>
      </c>
      <c r="E8" s="33">
        <f>125.56+14138.02</f>
        <v>14263.58</v>
      </c>
      <c r="F8" s="68">
        <v>240000</v>
      </c>
      <c r="G8" s="33">
        <f>7442.6+45646.12</f>
        <v>53088.72</v>
      </c>
      <c r="H8" s="68">
        <v>120000</v>
      </c>
      <c r="I8" s="33">
        <f>16988.81+66426.12</f>
        <v>83414.93</v>
      </c>
      <c r="J8" s="68">
        <v>7000</v>
      </c>
      <c r="K8" s="33">
        <f>1970+1142.14</f>
        <v>3112.1400000000003</v>
      </c>
      <c r="L8" s="68">
        <v>72000</v>
      </c>
      <c r="M8" s="33">
        <v>0</v>
      </c>
      <c r="N8" s="68">
        <v>60000</v>
      </c>
      <c r="O8" s="33">
        <v>52241.51</v>
      </c>
      <c r="P8" s="34">
        <f>+C8+G8+I8+K8+O8+E8</f>
        <v>526496.11</v>
      </c>
      <c r="Q8" s="34">
        <f>+B8+D8+F8+H8+J8+N8-P8+L8</f>
        <v>932772.89</v>
      </c>
      <c r="R8" s="158"/>
    </row>
    <row r="9" spans="1:17" ht="17.25">
      <c r="A9" s="31" t="s">
        <v>116</v>
      </c>
      <c r="B9" s="32">
        <v>90102</v>
      </c>
      <c r="C9" s="33">
        <f>4701.71+27406.31</f>
        <v>32108.02</v>
      </c>
      <c r="D9" s="68">
        <v>0</v>
      </c>
      <c r="E9" s="33">
        <v>0</v>
      </c>
      <c r="F9" s="68">
        <v>0</v>
      </c>
      <c r="G9" s="33">
        <v>0</v>
      </c>
      <c r="H9" s="68">
        <v>0</v>
      </c>
      <c r="I9" s="33">
        <v>5000</v>
      </c>
      <c r="J9" s="68">
        <v>0</v>
      </c>
      <c r="K9" s="33">
        <v>99.29</v>
      </c>
      <c r="L9" s="68">
        <v>0</v>
      </c>
      <c r="M9" s="33">
        <v>0</v>
      </c>
      <c r="N9" s="68">
        <v>0</v>
      </c>
      <c r="O9" s="33">
        <v>1086.44</v>
      </c>
      <c r="P9" s="34">
        <f>+C9+G9+I9+K9+O9+E9</f>
        <v>38293.75000000001</v>
      </c>
      <c r="Q9" s="34">
        <f>+B9+D9+F9+H9+J9+N9-P9</f>
        <v>51808.24999999999</v>
      </c>
    </row>
    <row r="10" spans="1:17" ht="17.25">
      <c r="A10" s="31" t="s">
        <v>117</v>
      </c>
      <c r="B10" s="32">
        <v>51854</v>
      </c>
      <c r="C10" s="33">
        <f>497.4+17892.72</f>
        <v>18390.120000000003</v>
      </c>
      <c r="D10" s="68">
        <v>0</v>
      </c>
      <c r="E10" s="33">
        <v>0</v>
      </c>
      <c r="F10" s="68">
        <v>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1176.9</v>
      </c>
      <c r="P10" s="34">
        <f>+C10+G10+I10+K10+O10+E10</f>
        <v>19567.020000000004</v>
      </c>
      <c r="Q10" s="34">
        <f>+B10+D10+F10+H10+J10+N10-P10</f>
        <v>32286.979999999996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1032525</v>
      </c>
      <c r="C12" s="40">
        <f t="shared" si="0"/>
        <v>370873.37</v>
      </c>
      <c r="D12" s="39">
        <f t="shared" si="0"/>
        <v>69700</v>
      </c>
      <c r="E12" s="40">
        <f t="shared" si="0"/>
        <v>14263.58</v>
      </c>
      <c r="F12" s="39">
        <f>SUM(F8:F11)</f>
        <v>240000</v>
      </c>
      <c r="G12" s="40">
        <f t="shared" si="0"/>
        <v>53088.72</v>
      </c>
      <c r="H12" s="39">
        <f t="shared" si="0"/>
        <v>120000</v>
      </c>
      <c r="I12" s="40">
        <f t="shared" si="0"/>
        <v>88414.93</v>
      </c>
      <c r="J12" s="39">
        <f t="shared" si="0"/>
        <v>7000</v>
      </c>
      <c r="K12" s="40">
        <f t="shared" si="0"/>
        <v>3211.4300000000003</v>
      </c>
      <c r="L12" s="39">
        <f t="shared" si="0"/>
        <v>72000</v>
      </c>
      <c r="M12" s="40">
        <f t="shared" si="0"/>
        <v>0</v>
      </c>
      <c r="N12" s="39">
        <f t="shared" si="0"/>
        <v>60000</v>
      </c>
      <c r="O12" s="40">
        <f t="shared" si="0"/>
        <v>54504.850000000006</v>
      </c>
      <c r="P12" s="42">
        <f t="shared" si="0"/>
        <v>584356.88</v>
      </c>
      <c r="Q12" s="42">
        <f t="shared" si="0"/>
        <v>1016868.12</v>
      </c>
    </row>
    <row r="13" spans="1:17" ht="17.25" thickBot="1">
      <c r="A13" s="43" t="s">
        <v>31</v>
      </c>
      <c r="B13" s="88"/>
      <c r="C13" s="93">
        <f>+C12/B12</f>
        <v>0.3591906927193046</v>
      </c>
      <c r="D13" s="93"/>
      <c r="E13" s="93">
        <f>+E12/D12</f>
        <v>0.20464246771879482</v>
      </c>
      <c r="F13" s="93"/>
      <c r="G13" s="93">
        <f>+G12/F12</f>
        <v>0.221203</v>
      </c>
      <c r="H13" s="93"/>
      <c r="I13" s="93">
        <f>+I12/H12</f>
        <v>0.7367910833333333</v>
      </c>
      <c r="J13" s="89"/>
      <c r="K13" s="93">
        <f>+K12/J12</f>
        <v>0.45877571428571434</v>
      </c>
      <c r="L13" s="90"/>
      <c r="M13" s="147">
        <f>+M12/L12</f>
        <v>0</v>
      </c>
      <c r="N13" s="45"/>
      <c r="O13" s="141">
        <f>+O12/N12</f>
        <v>0.9084141666666667</v>
      </c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0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27</v>
      </c>
      <c r="B45" s="71" t="s">
        <v>28</v>
      </c>
      <c r="C45" s="91" t="s">
        <v>29</v>
      </c>
      <c r="D45" s="5"/>
      <c r="H45" s="53"/>
    </row>
    <row r="46" spans="1:8" ht="17.25">
      <c r="A46" s="64">
        <f>+B12</f>
        <v>1032525</v>
      </c>
      <c r="B46" s="65">
        <f>+C12</f>
        <v>370873.37</v>
      </c>
      <c r="C46" s="91" t="s">
        <v>1</v>
      </c>
      <c r="D46" s="5"/>
      <c r="H46" s="53"/>
    </row>
    <row r="47" spans="1:8" ht="17.25">
      <c r="A47" s="64">
        <f>+D12</f>
        <v>69700</v>
      </c>
      <c r="B47" s="65">
        <f>+E12</f>
        <v>14263.58</v>
      </c>
      <c r="C47" s="91" t="s">
        <v>2</v>
      </c>
      <c r="D47" s="5"/>
      <c r="H47" s="53"/>
    </row>
    <row r="48" spans="1:8" ht="17.25">
      <c r="A48" s="64">
        <f>+F12</f>
        <v>240000</v>
      </c>
      <c r="B48" s="65">
        <f>+G12</f>
        <v>53088.72</v>
      </c>
      <c r="C48" s="91" t="s">
        <v>3</v>
      </c>
      <c r="D48" s="5"/>
      <c r="H48" s="53"/>
    </row>
    <row r="49" spans="1:3" ht="17.25">
      <c r="A49" s="64">
        <f>+H12</f>
        <v>120000</v>
      </c>
      <c r="B49" s="65">
        <f>+I12</f>
        <v>88414.93</v>
      </c>
      <c r="C49" s="62" t="s">
        <v>35</v>
      </c>
    </row>
    <row r="50" spans="1:3" ht="17.25">
      <c r="A50" s="64">
        <f>+J12</f>
        <v>7000</v>
      </c>
      <c r="B50" s="65">
        <f>+K12</f>
        <v>3211.4300000000003</v>
      </c>
      <c r="C50" s="62" t="s">
        <v>33</v>
      </c>
    </row>
    <row r="51" spans="1:3" ht="17.25">
      <c r="A51" s="66">
        <f>+L12</f>
        <v>72000</v>
      </c>
      <c r="B51" s="65">
        <f>+M12</f>
        <v>0</v>
      </c>
      <c r="C51" s="62" t="s">
        <v>99</v>
      </c>
    </row>
    <row r="52" spans="1:3" ht="17.25">
      <c r="A52" s="64">
        <f>+N12</f>
        <v>60000</v>
      </c>
      <c r="B52" s="65">
        <f>+O12</f>
        <v>54504.850000000006</v>
      </c>
      <c r="C52" s="62" t="s">
        <v>36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D1">
      <selection activeCell="N14" sqref="N14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140625" style="1" customWidth="1"/>
    <col min="14" max="14" width="10.140625" style="1" customWidth="1"/>
    <col min="15" max="15" width="10.57421875" style="1" customWidth="1"/>
    <col min="16" max="16384" width="11.421875" style="1" customWidth="1"/>
  </cols>
  <sheetData>
    <row r="2" spans="1:12" ht="18">
      <c r="A2" s="146" t="s">
        <v>0</v>
      </c>
      <c r="B2" s="165" t="s">
        <v>118</v>
      </c>
      <c r="C2" s="181"/>
      <c r="D2" s="170"/>
      <c r="E2" s="170"/>
      <c r="I2" s="174" t="s">
        <v>24</v>
      </c>
      <c r="J2" s="174"/>
      <c r="K2" s="150">
        <v>40664</v>
      </c>
      <c r="L2" s="20"/>
    </row>
    <row r="3" spans="2:4" ht="16.5">
      <c r="B3" s="180"/>
      <c r="C3" s="163"/>
      <c r="D3" s="96"/>
    </row>
    <row r="5" ht="17.25" thickBot="1"/>
    <row r="6" spans="1:15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33</v>
      </c>
      <c r="K6" s="173"/>
      <c r="L6" s="172" t="s">
        <v>34</v>
      </c>
      <c r="M6" s="173"/>
      <c r="N6" s="26" t="s">
        <v>5</v>
      </c>
      <c r="O6" s="26" t="s">
        <v>39</v>
      </c>
    </row>
    <row r="7" spans="1:15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9" t="s">
        <v>26</v>
      </c>
      <c r="O7" s="30" t="s">
        <v>40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5" ht="17.25">
      <c r="A9" s="31" t="s">
        <v>92</v>
      </c>
      <c r="B9" s="57">
        <v>336693</v>
      </c>
      <c r="C9" s="33">
        <f>28166.85+95428.39</f>
        <v>123595.23999999999</v>
      </c>
      <c r="D9" s="76">
        <v>2170</v>
      </c>
      <c r="E9" s="33">
        <v>0</v>
      </c>
      <c r="F9" s="76">
        <v>125960</v>
      </c>
      <c r="G9" s="33">
        <f>50.78+22373.6</f>
        <v>22424.379999999997</v>
      </c>
      <c r="H9" s="76">
        <v>0</v>
      </c>
      <c r="I9" s="33">
        <v>0</v>
      </c>
      <c r="J9" s="76">
        <v>0</v>
      </c>
      <c r="K9" s="33">
        <v>0</v>
      </c>
      <c r="L9" s="76">
        <v>0</v>
      </c>
      <c r="M9" s="33">
        <v>19383.44</v>
      </c>
      <c r="N9" s="34">
        <f>+M9+K9+I9+G9+E9+C9</f>
        <v>165403.06</v>
      </c>
      <c r="O9" s="34">
        <f>+B9+D9+F9+H9+J9+L9-N9</f>
        <v>299419.94</v>
      </c>
    </row>
    <row r="10" spans="1:15" ht="16.5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336693</v>
      </c>
      <c r="C12" s="40">
        <f>SUM(C9)</f>
        <v>123595.23999999999</v>
      </c>
      <c r="D12" s="39">
        <f>SUM(D9:D11)</f>
        <v>2170</v>
      </c>
      <c r="E12" s="40">
        <f>SUM(E9)</f>
        <v>0</v>
      </c>
      <c r="F12" s="39">
        <f>SUM(F9:F11)</f>
        <v>125960</v>
      </c>
      <c r="G12" s="40">
        <f>SUM(G9)</f>
        <v>22424.379999999997</v>
      </c>
      <c r="H12" s="99">
        <f>SUM(H9:H11)</f>
        <v>0</v>
      </c>
      <c r="I12" s="40">
        <v>0</v>
      </c>
      <c r="J12" s="39">
        <f>SUM(J9:J11)</f>
        <v>0</v>
      </c>
      <c r="K12" s="40">
        <f>SUM(K9)</f>
        <v>0</v>
      </c>
      <c r="L12" s="39">
        <f>SUM(L9:L11)</f>
        <v>0</v>
      </c>
      <c r="M12" s="40">
        <f>SUM(M9)</f>
        <v>19383.44</v>
      </c>
      <c r="N12" s="42">
        <f>SUM(N9)</f>
        <v>165403.06</v>
      </c>
      <c r="O12" s="42">
        <f>SUM(O9)</f>
        <v>299419.94</v>
      </c>
    </row>
    <row r="13" spans="1:15" ht="17.25" thickBot="1">
      <c r="A13" s="43" t="s">
        <v>31</v>
      </c>
      <c r="B13" s="88"/>
      <c r="C13" s="93">
        <f>+C12/B12</f>
        <v>0.36708586160092427</v>
      </c>
      <c r="D13" s="89"/>
      <c r="E13" s="93">
        <f>+E12/D12</f>
        <v>0</v>
      </c>
      <c r="F13" s="89"/>
      <c r="G13" s="93">
        <f>+G12/F12</f>
        <v>0.17802778659892027</v>
      </c>
      <c r="H13" s="89"/>
      <c r="I13" s="89"/>
      <c r="J13" s="89"/>
      <c r="K13" s="47"/>
      <c r="L13" s="45"/>
      <c r="M13" s="141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27</v>
      </c>
      <c r="B48" s="71" t="s">
        <v>28</v>
      </c>
      <c r="C48" s="91" t="s">
        <v>29</v>
      </c>
      <c r="D48" s="5"/>
      <c r="H48" s="53"/>
    </row>
    <row r="49" spans="1:8" ht="17.25">
      <c r="A49" s="65">
        <f>+B12</f>
        <v>336693</v>
      </c>
      <c r="B49" s="65">
        <f>+C12</f>
        <v>123595.23999999999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0</v>
      </c>
      <c r="C50" s="91" t="s">
        <v>2</v>
      </c>
      <c r="D50" s="5"/>
      <c r="H50" s="53"/>
    </row>
    <row r="51" spans="1:8" ht="17.25">
      <c r="A51" s="65">
        <f>+F12</f>
        <v>125960</v>
      </c>
      <c r="B51" s="65">
        <f>+G12</f>
        <v>22424.379999999997</v>
      </c>
      <c r="C51" s="91" t="s">
        <v>3</v>
      </c>
      <c r="D51" s="5"/>
      <c r="H51" s="53"/>
    </row>
    <row r="52" spans="1:3" ht="17.25">
      <c r="A52" s="65">
        <f>+J12</f>
        <v>0</v>
      </c>
      <c r="B52" s="65">
        <f>+K12</f>
        <v>0</v>
      </c>
      <c r="C52" s="62" t="s">
        <v>33</v>
      </c>
    </row>
    <row r="53" spans="1:3" ht="17.25">
      <c r="A53" s="65">
        <f>+L12</f>
        <v>0</v>
      </c>
      <c r="B53" s="65">
        <f>+M12</f>
        <v>19383.44</v>
      </c>
      <c r="C53" s="62" t="s">
        <v>36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I1">
      <selection activeCell="S12" sqref="S12"/>
    </sheetView>
  </sheetViews>
  <sheetFormatPr defaultColWidth="11.421875" defaultRowHeight="15"/>
  <cols>
    <col min="1" max="1" width="13.7109375" style="1" customWidth="1"/>
    <col min="2" max="2" width="10.140625" style="1" customWidth="1"/>
    <col min="3" max="3" width="12.57421875" style="1" customWidth="1"/>
    <col min="4" max="4" width="9.140625" style="1" customWidth="1"/>
    <col min="5" max="5" width="12.57421875" style="1" customWidth="1"/>
    <col min="6" max="6" width="9.421875" style="1" customWidth="1"/>
    <col min="7" max="7" width="11.8515625" style="1" customWidth="1"/>
    <col min="8" max="8" width="7.421875" style="1" customWidth="1"/>
    <col min="9" max="9" width="10.574218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10.28125" style="1" customWidth="1"/>
    <col min="14" max="14" width="9.140625" style="1" customWidth="1"/>
    <col min="15" max="15" width="12.421875" style="1" customWidth="1"/>
    <col min="16" max="16" width="13.140625" style="1" customWidth="1"/>
    <col min="17" max="17" width="13.00390625" style="1" customWidth="1"/>
    <col min="18" max="18" width="12.140625" style="1" bestFit="1" customWidth="1"/>
    <col min="19" max="16384" width="11.421875" style="1" customWidth="1"/>
  </cols>
  <sheetData>
    <row r="1" spans="1:15" ht="17.25">
      <c r="A1" s="146" t="s">
        <v>0</v>
      </c>
      <c r="B1" s="165" t="s">
        <v>119</v>
      </c>
      <c r="C1" s="177"/>
      <c r="D1" s="177"/>
      <c r="E1" s="177"/>
      <c r="F1" s="178"/>
      <c r="L1" s="174" t="s">
        <v>24</v>
      </c>
      <c r="M1" s="175"/>
      <c r="N1" s="189">
        <v>40664</v>
      </c>
      <c r="O1" s="23"/>
    </row>
    <row r="2" spans="2:4" ht="4.5" customHeight="1">
      <c r="B2" s="180"/>
      <c r="C2" s="163"/>
      <c r="D2" s="163"/>
    </row>
    <row r="3" ht="17.25" thickBot="1"/>
    <row r="4" spans="1:17" ht="17.25">
      <c r="A4" s="25"/>
      <c r="B4" s="172" t="s">
        <v>1</v>
      </c>
      <c r="C4" s="173"/>
      <c r="D4" s="172" t="s">
        <v>2</v>
      </c>
      <c r="E4" s="173"/>
      <c r="F4" s="172" t="s">
        <v>3</v>
      </c>
      <c r="G4" s="173"/>
      <c r="H4" s="172" t="s">
        <v>35</v>
      </c>
      <c r="I4" s="173"/>
      <c r="J4" s="172" t="s">
        <v>33</v>
      </c>
      <c r="K4" s="173"/>
      <c r="L4" s="172" t="s">
        <v>37</v>
      </c>
      <c r="M4" s="173"/>
      <c r="N4" s="172" t="s">
        <v>34</v>
      </c>
      <c r="O4" s="173"/>
      <c r="P4" s="26" t="s">
        <v>5</v>
      </c>
      <c r="Q4" s="26" t="s">
        <v>39</v>
      </c>
    </row>
    <row r="5" spans="1:17" ht="17.25">
      <c r="A5" s="27"/>
      <c r="B5" s="28" t="s">
        <v>32</v>
      </c>
      <c r="C5" s="28" t="s">
        <v>38</v>
      </c>
      <c r="D5" s="28" t="s">
        <v>32</v>
      </c>
      <c r="E5" s="28" t="s">
        <v>38</v>
      </c>
      <c r="F5" s="28" t="s">
        <v>32</v>
      </c>
      <c r="G5" s="28" t="s">
        <v>38</v>
      </c>
      <c r="H5" s="28" t="s">
        <v>32</v>
      </c>
      <c r="I5" s="28" t="s">
        <v>38</v>
      </c>
      <c r="J5" s="28" t="s">
        <v>32</v>
      </c>
      <c r="K5" s="28" t="s">
        <v>38</v>
      </c>
      <c r="L5" s="28" t="s">
        <v>32</v>
      </c>
      <c r="M5" s="28" t="s">
        <v>38</v>
      </c>
      <c r="N5" s="28" t="s">
        <v>32</v>
      </c>
      <c r="O5" s="28" t="s">
        <v>38</v>
      </c>
      <c r="P5" s="126" t="s">
        <v>26</v>
      </c>
      <c r="Q5" s="30" t="s">
        <v>40</v>
      </c>
    </row>
    <row r="6" spans="1:17" ht="17.25">
      <c r="A6" s="31" t="s">
        <v>15</v>
      </c>
      <c r="B6" s="32">
        <v>946485</v>
      </c>
      <c r="C6" s="33">
        <f>37233.8+240737.27+6954.99+19534.24+12120.71+37542.24</f>
        <v>354123.25</v>
      </c>
      <c r="D6" s="68">
        <v>27630</v>
      </c>
      <c r="E6" s="33">
        <f>3027+33263.51</f>
        <v>36290.51</v>
      </c>
      <c r="F6" s="68">
        <v>167890</v>
      </c>
      <c r="G6" s="33">
        <f>35881.29+161650.93</f>
        <v>197532.22</v>
      </c>
      <c r="H6" s="68">
        <v>230000</v>
      </c>
      <c r="I6" s="33">
        <f>18166+84032.9</f>
        <v>102198.9</v>
      </c>
      <c r="J6" s="68">
        <v>31200</v>
      </c>
      <c r="K6" s="33">
        <v>0</v>
      </c>
      <c r="L6" s="68">
        <v>0</v>
      </c>
      <c r="M6" s="33">
        <f>7835.62+20932.28</f>
        <v>28767.899999999998</v>
      </c>
      <c r="N6" s="68">
        <f>176000+540000</f>
        <v>716000</v>
      </c>
      <c r="O6" s="33">
        <v>668742.55</v>
      </c>
      <c r="P6" s="34">
        <f aca="true" t="shared" si="0" ref="P6:P12">+O6+M6+K6+I6+G6+E6+C6</f>
        <v>1387655.33</v>
      </c>
      <c r="Q6" s="34">
        <f aca="true" t="shared" si="1" ref="Q6:Q12">+B6+D6+F6+H6+J6+L6+N6-P6</f>
        <v>731549.6699999999</v>
      </c>
    </row>
    <row r="7" spans="1:17" ht="17.25">
      <c r="A7" s="31" t="s">
        <v>120</v>
      </c>
      <c r="B7" s="32">
        <v>1334282</v>
      </c>
      <c r="C7" s="33">
        <f>26541+271191.02+31130.52+106313.91+47351.72+89422.97</f>
        <v>571951.14</v>
      </c>
      <c r="D7" s="68">
        <v>81672</v>
      </c>
      <c r="E7" s="33">
        <f>38774.5+22758.39</f>
        <v>61532.89</v>
      </c>
      <c r="F7" s="68">
        <v>279689</v>
      </c>
      <c r="G7" s="33">
        <f>22876.99+160728.65+21081.8</f>
        <v>204687.43999999997</v>
      </c>
      <c r="H7" s="68">
        <v>0</v>
      </c>
      <c r="I7" s="33">
        <v>0</v>
      </c>
      <c r="J7" s="68">
        <v>0</v>
      </c>
      <c r="K7" s="33">
        <v>8023.04</v>
      </c>
      <c r="L7" s="68">
        <v>45000</v>
      </c>
      <c r="M7" s="33">
        <f>8934.5+17475.79</f>
        <v>26410.29</v>
      </c>
      <c r="N7" s="68">
        <v>0</v>
      </c>
      <c r="O7" s="33">
        <v>29548.17</v>
      </c>
      <c r="P7" s="34">
        <f>+O7+M7+K7+I7+G7+E7+C7</f>
        <v>902152.97</v>
      </c>
      <c r="Q7" s="34">
        <f t="shared" si="1"/>
        <v>838490.03</v>
      </c>
    </row>
    <row r="8" spans="1:18" ht="17.25">
      <c r="A8" s="31" t="s">
        <v>121</v>
      </c>
      <c r="B8" s="32">
        <v>4954501</v>
      </c>
      <c r="C8" s="33">
        <f>349238.81+1863633.29</f>
        <v>2212872.1</v>
      </c>
      <c r="D8" s="68">
        <v>862748</v>
      </c>
      <c r="E8" s="33">
        <f>105330.57+668030.39</f>
        <v>773360.96</v>
      </c>
      <c r="F8" s="68">
        <v>1295278</v>
      </c>
      <c r="G8" s="33">
        <f>48531.82+509634.16</f>
        <v>558165.98</v>
      </c>
      <c r="H8" s="68">
        <v>0</v>
      </c>
      <c r="I8" s="33">
        <v>0</v>
      </c>
      <c r="J8" s="68">
        <v>150000</v>
      </c>
      <c r="K8" s="33">
        <v>41370.13</v>
      </c>
      <c r="L8" s="68">
        <v>0</v>
      </c>
      <c r="M8" s="33">
        <v>565.3</v>
      </c>
      <c r="N8" s="68">
        <v>0</v>
      </c>
      <c r="O8" s="33">
        <v>149534.16</v>
      </c>
      <c r="P8" s="34">
        <f t="shared" si="0"/>
        <v>3735868.63</v>
      </c>
      <c r="Q8" s="34">
        <f t="shared" si="1"/>
        <v>3526658.37</v>
      </c>
      <c r="R8" s="158"/>
    </row>
    <row r="9" spans="1:17" ht="17.25">
      <c r="A9" s="31" t="s">
        <v>41</v>
      </c>
      <c r="B9" s="32">
        <v>2762032</v>
      </c>
      <c r="C9" s="33">
        <f>304940.63+862892.18+5207.56+12779.95</f>
        <v>1185820.32</v>
      </c>
      <c r="D9" s="68">
        <v>717277</v>
      </c>
      <c r="E9" s="33">
        <f>77736.12+380900.54</f>
        <v>458636.66</v>
      </c>
      <c r="F9" s="68">
        <v>326109</v>
      </c>
      <c r="G9" s="33">
        <f>1826.19+129993.17</f>
        <v>131819.36</v>
      </c>
      <c r="H9" s="68">
        <v>0</v>
      </c>
      <c r="I9" s="33">
        <v>2445.9</v>
      </c>
      <c r="J9" s="68">
        <v>0</v>
      </c>
      <c r="K9" s="33">
        <v>7734.72</v>
      </c>
      <c r="L9" s="68">
        <v>0</v>
      </c>
      <c r="M9" s="33">
        <f>15426.65+173031.01</f>
        <v>188457.66</v>
      </c>
      <c r="N9" s="68">
        <v>0</v>
      </c>
      <c r="O9" s="33">
        <v>101635.04</v>
      </c>
      <c r="P9" s="34">
        <f t="shared" si="0"/>
        <v>2076549.6600000001</v>
      </c>
      <c r="Q9" s="34">
        <f t="shared" si="1"/>
        <v>1728868.3399999999</v>
      </c>
    </row>
    <row r="10" spans="1:17" ht="17.25">
      <c r="A10" s="31" t="s">
        <v>122</v>
      </c>
      <c r="B10" s="32">
        <v>112772</v>
      </c>
      <c r="C10" s="33">
        <f>12848.96+30370.71</f>
        <v>43219.67</v>
      </c>
      <c r="D10" s="100">
        <v>598650</v>
      </c>
      <c r="E10" s="80">
        <f>9620.05+31682.26</f>
        <v>41302.31</v>
      </c>
      <c r="F10" s="100">
        <v>0</v>
      </c>
      <c r="G10" s="80">
        <v>8384</v>
      </c>
      <c r="H10" s="100">
        <v>0</v>
      </c>
      <c r="I10" s="80">
        <v>0</v>
      </c>
      <c r="J10" s="100">
        <v>13042</v>
      </c>
      <c r="K10" s="80">
        <v>1478</v>
      </c>
      <c r="L10" s="100">
        <v>200000</v>
      </c>
      <c r="M10" s="80">
        <f>2199.2+13376.11</f>
        <v>15575.310000000001</v>
      </c>
      <c r="N10" s="100">
        <v>0</v>
      </c>
      <c r="O10" s="80">
        <v>2862</v>
      </c>
      <c r="P10" s="34">
        <f t="shared" si="0"/>
        <v>112821.29</v>
      </c>
      <c r="Q10" s="34">
        <f t="shared" si="1"/>
        <v>811642.71</v>
      </c>
    </row>
    <row r="11" spans="1:17" ht="17.25">
      <c r="A11" s="31" t="s">
        <v>123</v>
      </c>
      <c r="B11" s="32">
        <v>602963</v>
      </c>
      <c r="C11" s="33">
        <f>63766.18+241652.58</f>
        <v>305418.76</v>
      </c>
      <c r="D11" s="68">
        <v>314491</v>
      </c>
      <c r="E11" s="33">
        <f>13334.8+196989.64</f>
        <v>210324.44</v>
      </c>
      <c r="F11" s="68">
        <v>1500000</v>
      </c>
      <c r="G11" s="33">
        <f>195909+766350.5</f>
        <v>962259.5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0</v>
      </c>
      <c r="N11" s="100">
        <v>0</v>
      </c>
      <c r="O11" s="33">
        <v>19926.28</v>
      </c>
      <c r="P11" s="34">
        <f t="shared" si="0"/>
        <v>1497928.98</v>
      </c>
      <c r="Q11" s="34">
        <f t="shared" si="1"/>
        <v>919525.02</v>
      </c>
    </row>
    <row r="12" spans="1:17" ht="17.25">
      <c r="A12" s="31" t="s">
        <v>80</v>
      </c>
      <c r="B12" s="32">
        <v>4409449</v>
      </c>
      <c r="C12" s="33">
        <f>424810.55+1237805.03+55273.07+134744.61+967.04+2877.63+3775.37+13252.93</f>
        <v>1873506.2300000002</v>
      </c>
      <c r="D12" s="68">
        <v>179571</v>
      </c>
      <c r="E12" s="33">
        <f>7705.59+114629.2</f>
        <v>122334.79</v>
      </c>
      <c r="F12" s="68">
        <v>381061</v>
      </c>
      <c r="G12" s="33">
        <f>16973.86+196409.36+1700+6800</f>
        <v>221883.21999999997</v>
      </c>
      <c r="H12" s="68">
        <v>2000</v>
      </c>
      <c r="I12" s="33">
        <v>0</v>
      </c>
      <c r="J12" s="68">
        <v>1250</v>
      </c>
      <c r="K12" s="33">
        <f>3947.66+68664.02</f>
        <v>72611.68000000001</v>
      </c>
      <c r="L12" s="68">
        <v>650000</v>
      </c>
      <c r="M12" s="33">
        <f>19749.68+139733.71</f>
        <v>159483.38999999998</v>
      </c>
      <c r="N12" s="68">
        <v>0</v>
      </c>
      <c r="O12" s="33">
        <v>104236.66</v>
      </c>
      <c r="P12" s="34">
        <f t="shared" si="0"/>
        <v>2554055.97</v>
      </c>
      <c r="Q12" s="34">
        <f t="shared" si="1"/>
        <v>3069275.03</v>
      </c>
    </row>
    <row r="13" spans="1:17" ht="18" thickBot="1">
      <c r="A13" s="38" t="s">
        <v>11</v>
      </c>
      <c r="B13" s="39">
        <f aca="true" t="shared" si="2" ref="B13:Q13">SUM(B6:B12)</f>
        <v>15122484</v>
      </c>
      <c r="C13" s="40">
        <f t="shared" si="2"/>
        <v>6546911.470000001</v>
      </c>
      <c r="D13" s="39">
        <f t="shared" si="2"/>
        <v>2782039</v>
      </c>
      <c r="E13" s="40">
        <f t="shared" si="2"/>
        <v>1703782.56</v>
      </c>
      <c r="F13" s="39">
        <f t="shared" si="2"/>
        <v>3950027</v>
      </c>
      <c r="G13" s="40">
        <f t="shared" si="2"/>
        <v>2284731.7199999997</v>
      </c>
      <c r="H13" s="39">
        <f t="shared" si="2"/>
        <v>232000</v>
      </c>
      <c r="I13" s="40">
        <f t="shared" si="2"/>
        <v>104644.79999999999</v>
      </c>
      <c r="J13" s="39">
        <f t="shared" si="2"/>
        <v>195492</v>
      </c>
      <c r="K13" s="40">
        <f t="shared" si="2"/>
        <v>131217.57</v>
      </c>
      <c r="L13" s="39">
        <f t="shared" si="2"/>
        <v>895000</v>
      </c>
      <c r="M13" s="40">
        <f t="shared" si="2"/>
        <v>419259.85</v>
      </c>
      <c r="N13" s="39">
        <f t="shared" si="2"/>
        <v>716000</v>
      </c>
      <c r="O13" s="40">
        <f t="shared" si="2"/>
        <v>1076484.86</v>
      </c>
      <c r="P13" s="42">
        <f t="shared" si="2"/>
        <v>12267032.83</v>
      </c>
      <c r="Q13" s="42">
        <f t="shared" si="2"/>
        <v>11626009.17</v>
      </c>
    </row>
    <row r="14" spans="1:17" ht="17.25" thickBot="1">
      <c r="A14" s="38" t="s">
        <v>31</v>
      </c>
      <c r="B14" s="88"/>
      <c r="C14" s="93">
        <f>+C13/B13</f>
        <v>0.4329256668415057</v>
      </c>
      <c r="D14" s="93"/>
      <c r="E14" s="93">
        <f>+E13/D13</f>
        <v>0.612422241384826</v>
      </c>
      <c r="F14" s="93"/>
      <c r="G14" s="93">
        <f>+G13/F13</f>
        <v>0.578409139988157</v>
      </c>
      <c r="H14" s="93"/>
      <c r="I14" s="93">
        <f>+I13/H13</f>
        <v>0.45105517241379306</v>
      </c>
      <c r="J14" s="93"/>
      <c r="K14" s="93">
        <f>+K13/J13</f>
        <v>0.6712170830519919</v>
      </c>
      <c r="L14" s="148"/>
      <c r="M14" s="147">
        <f>+M13/L13</f>
        <v>0.46844675977653627</v>
      </c>
      <c r="N14" s="45"/>
      <c r="O14" s="141">
        <f>+O13/N13</f>
        <v>1.5034704748603354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5"/>
    </row>
    <row r="16" ht="16.5"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27</v>
      </c>
      <c r="B49" s="71" t="s">
        <v>28</v>
      </c>
      <c r="C49" s="62" t="s">
        <v>29</v>
      </c>
      <c r="D49" s="62"/>
    </row>
    <row r="50" spans="1:3" ht="17.25">
      <c r="A50" s="64">
        <f>+B13</f>
        <v>15122484</v>
      </c>
      <c r="B50" s="65">
        <f>+C13</f>
        <v>6546911.470000001</v>
      </c>
      <c r="C50" s="62" t="s">
        <v>1</v>
      </c>
    </row>
    <row r="51" spans="1:3" ht="17.25">
      <c r="A51" s="64">
        <f>+D13</f>
        <v>2782039</v>
      </c>
      <c r="B51" s="65">
        <f>+E13</f>
        <v>1703782.56</v>
      </c>
      <c r="C51" s="62" t="s">
        <v>2</v>
      </c>
    </row>
    <row r="52" spans="1:3" ht="17.25">
      <c r="A52" s="64">
        <f>+F13</f>
        <v>3950027</v>
      </c>
      <c r="B52" s="65">
        <f>+G13</f>
        <v>2284731.7199999997</v>
      </c>
      <c r="C52" s="62" t="s">
        <v>3</v>
      </c>
    </row>
    <row r="53" spans="1:3" ht="17.25">
      <c r="A53" s="66">
        <f>+H13</f>
        <v>232000</v>
      </c>
      <c r="B53" s="65">
        <f>+I13</f>
        <v>104644.79999999999</v>
      </c>
      <c r="C53" s="62" t="s">
        <v>35</v>
      </c>
    </row>
    <row r="54" spans="1:3" ht="17.25">
      <c r="A54" s="66">
        <f>+J13</f>
        <v>195492</v>
      </c>
      <c r="B54" s="65">
        <f>+K13</f>
        <v>131217.57</v>
      </c>
      <c r="C54" s="62" t="s">
        <v>33</v>
      </c>
    </row>
    <row r="55" spans="1:3" ht="17.25">
      <c r="A55" s="64">
        <f>+L13</f>
        <v>895000</v>
      </c>
      <c r="B55" s="65">
        <f>+M13</f>
        <v>419259.85</v>
      </c>
      <c r="C55" s="62" t="s">
        <v>30</v>
      </c>
    </row>
    <row r="56" spans="1:3" ht="17.25">
      <c r="A56" s="64">
        <f>+N13</f>
        <v>716000</v>
      </c>
      <c r="B56" s="65">
        <f>+O13</f>
        <v>1076484.86</v>
      </c>
      <c r="C56" s="62" t="s">
        <v>36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mergeCells count="10">
    <mergeCell ref="N4:O4"/>
    <mergeCell ref="B4:C4"/>
    <mergeCell ref="D4:E4"/>
    <mergeCell ref="F4:G4"/>
    <mergeCell ref="H4:I4"/>
    <mergeCell ref="B2:D2"/>
    <mergeCell ref="J4:K4"/>
    <mergeCell ref="L4:M4"/>
    <mergeCell ref="L1:M1"/>
    <mergeCell ref="B1:F1"/>
  </mergeCells>
  <printOptions/>
  <pageMargins left="0.47" right="0.46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2011-06-21T13:30:48Z</cp:lastPrinted>
  <dcterms:created xsi:type="dcterms:W3CDTF">2000-04-26T12:06:38Z</dcterms:created>
  <dcterms:modified xsi:type="dcterms:W3CDTF">2011-06-21T13:30:51Z</dcterms:modified>
  <cp:category/>
  <cp:version/>
  <cp:contentType/>
  <cp:contentStatus/>
</cp:coreProperties>
</file>