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745" windowHeight="6690" tabRatio="885" activeTab="12"/>
  </bookViews>
  <sheets>
    <sheet name="INT" sheetId="1" r:id="rId1"/>
    <sheet name="GOB" sheetId="2" r:id="rId2"/>
    <sheet name="SEH" sheetId="3" r:id="rId3"/>
    <sheet name="SAS" sheetId="4" r:id="rId4"/>
    <sheet name="SOP" sheetId="5" r:id="rId5"/>
    <sheet name="SFOI" sheetId="6" r:id="rId6"/>
    <sheet name="CD" sheetId="7" r:id="rId7"/>
    <sheet name="CM" sheetId="8" r:id="rId8"/>
    <sheet name="SSP" sheetId="9" r:id="rId9"/>
    <sheet name="CULTURA" sheetId="10" r:id="rId10"/>
    <sheet name="DEPORTES" sheetId="11" r:id="rId11"/>
    <sheet name="GENERAL I" sheetId="12" r:id="rId12"/>
    <sheet name="GENERAL II" sheetId="13" r:id="rId13"/>
  </sheets>
  <definedNames/>
  <calcPr fullCalcOnLoad="1"/>
</workbook>
</file>

<file path=xl/sharedStrings.xml><?xml version="1.0" encoding="utf-8"?>
<sst xmlns="http://schemas.openxmlformats.org/spreadsheetml/2006/main" count="617" uniqueCount="143">
  <si>
    <t>AREA:</t>
  </si>
  <si>
    <t>PERSONAL</t>
  </si>
  <si>
    <t>CONSUMO</t>
  </si>
  <si>
    <t>SERVICIOS</t>
  </si>
  <si>
    <t>TRANS.CTES.</t>
  </si>
  <si>
    <t>TOTAL</t>
  </si>
  <si>
    <t>Dir.Hacienda</t>
  </si>
  <si>
    <t>Dir.Informática</t>
  </si>
  <si>
    <t>Dir.Suministros</t>
  </si>
  <si>
    <t>Tesorería</t>
  </si>
  <si>
    <t>Contaduría</t>
  </si>
  <si>
    <t>TOTALES</t>
  </si>
  <si>
    <t>Dir.Arquitectura</t>
  </si>
  <si>
    <t>Dir.Des.Urbano</t>
  </si>
  <si>
    <t>Secretaría</t>
  </si>
  <si>
    <t>Intendencia</t>
  </si>
  <si>
    <t>Sec.Gobierno</t>
  </si>
  <si>
    <t>Sec.Econ.y Hacienda</t>
  </si>
  <si>
    <t>Sec.Obras Públicas</t>
  </si>
  <si>
    <t>Sec.Servicios Públicos</t>
  </si>
  <si>
    <t>Sec.Acción Social</t>
  </si>
  <si>
    <t>Concejo Deliberante</t>
  </si>
  <si>
    <t>Contraloría Municipal</t>
  </si>
  <si>
    <t>ACUMULADO A:</t>
  </si>
  <si>
    <t>SALDO</t>
  </si>
  <si>
    <t>EJECUTADO</t>
  </si>
  <si>
    <t>PRESUPUESTO</t>
  </si>
  <si>
    <t>EJECUCION</t>
  </si>
  <si>
    <t>RUBRO</t>
  </si>
  <si>
    <t>TRAB.PUBL.</t>
  </si>
  <si>
    <t>% EJECUTADO</t>
  </si>
  <si>
    <t>crédito</t>
  </si>
  <si>
    <t>BS.CAP.+BS.PREEX.</t>
  </si>
  <si>
    <t>AMORTIZ.DEUDA</t>
  </si>
  <si>
    <t>TRANSF.CTES.</t>
  </si>
  <si>
    <t>AMORT.DDA.</t>
  </si>
  <si>
    <t>TRABAJOS PUBLICOS</t>
  </si>
  <si>
    <t>ejecución</t>
  </si>
  <si>
    <t>SDO. CTO.</t>
  </si>
  <si>
    <t>PPTO.</t>
  </si>
  <si>
    <t xml:space="preserve">Dir.Talleres </t>
  </si>
  <si>
    <t>EJECUCION PRESUPUESTARIA POR AREAS</t>
  </si>
  <si>
    <t>Datos al:</t>
  </si>
  <si>
    <t>AREA</t>
  </si>
  <si>
    <t xml:space="preserve">% </t>
  </si>
  <si>
    <t xml:space="preserve">EJECUCION DEL GASTO (valores acumulados) </t>
  </si>
  <si>
    <t>POR  AREA</t>
  </si>
  <si>
    <t>ejecutado</t>
  </si>
  <si>
    <t>BS.CAP+PREEX.</t>
  </si>
  <si>
    <t>CTO.PTO.</t>
  </si>
  <si>
    <t>% ejecutado por rubros</t>
  </si>
  <si>
    <t>Referencias:</t>
  </si>
  <si>
    <t>sdo.cto.pto.</t>
  </si>
  <si>
    <t>amort.dda.</t>
  </si>
  <si>
    <t>trab.públ.</t>
  </si>
  <si>
    <t>bs.cap+preex.</t>
  </si>
  <si>
    <t>transf.ctes.</t>
  </si>
  <si>
    <t>servicios</t>
  </si>
  <si>
    <t>consumo</t>
  </si>
  <si>
    <t>personal</t>
  </si>
  <si>
    <t>trans.</t>
  </si>
  <si>
    <t>bs.cap+preex</t>
  </si>
  <si>
    <t>trab.publ</t>
  </si>
  <si>
    <t>sdo.cto.</t>
  </si>
  <si>
    <t>total</t>
  </si>
  <si>
    <t>INT</t>
  </si>
  <si>
    <t>GOB</t>
  </si>
  <si>
    <t>SEH</t>
  </si>
  <si>
    <t>SOP</t>
  </si>
  <si>
    <t>SSP</t>
  </si>
  <si>
    <t>SAS</t>
  </si>
  <si>
    <t>CD</t>
  </si>
  <si>
    <t>CM</t>
  </si>
  <si>
    <t>Dir.Admin.y Técnica</t>
  </si>
  <si>
    <t>Dir.Administrativa</t>
  </si>
  <si>
    <t>Dir.Desarrollo Social</t>
  </si>
  <si>
    <t>Dir.Com.Institucional</t>
  </si>
  <si>
    <t>Dir.Protección Civil</t>
  </si>
  <si>
    <t>Dir.Planeam.</t>
  </si>
  <si>
    <t>Dir.Obr.Infraest.</t>
  </si>
  <si>
    <t>BS.CAP+BS.PREEX.</t>
  </si>
  <si>
    <t>Dir.Prom.Comunitaria</t>
  </si>
  <si>
    <t>Dir.Gral.Adm.L.yT.</t>
  </si>
  <si>
    <t>Dir.Asunt.Cont.yDict.</t>
  </si>
  <si>
    <t xml:space="preserve"> </t>
  </si>
  <si>
    <t>Sec.Fisc.y Org.Interna</t>
  </si>
  <si>
    <t xml:space="preserve">                 TRAB.PUBLICOS</t>
  </si>
  <si>
    <t>Dir.Rec.Humanos</t>
  </si>
  <si>
    <t>Dir.Comerc.y Bromat.</t>
  </si>
  <si>
    <t>Dir.Tráns.y Transp.</t>
  </si>
  <si>
    <t>Privada</t>
  </si>
  <si>
    <t>IUNA</t>
  </si>
  <si>
    <t>Area Artes Sonoras</t>
  </si>
  <si>
    <t>Centro Cultural</t>
  </si>
  <si>
    <t>Area Artes Visuales</t>
  </si>
  <si>
    <t>CULT.</t>
  </si>
  <si>
    <t>DEP.</t>
  </si>
  <si>
    <t>TRAB.PUBLICOS</t>
  </si>
  <si>
    <t>Presidencia</t>
  </si>
  <si>
    <t>SFOI</t>
  </si>
  <si>
    <t>Unid.Des.Económico</t>
  </si>
  <si>
    <t>Asesoria en Seg.</t>
  </si>
  <si>
    <t>TRAB. PÚBLICOS</t>
  </si>
  <si>
    <t>Dir.Recaudaciones</t>
  </si>
  <si>
    <t>TRAB. PUBLICOS</t>
  </si>
  <si>
    <t>INTENDENCIA  MUNICIPAL</t>
  </si>
  <si>
    <t>SECRETARIA DE  GOBIERNO</t>
  </si>
  <si>
    <t>Juzgado de Faltas</t>
  </si>
  <si>
    <t>Dir.Inform.y Estadistica</t>
  </si>
  <si>
    <t>SECRETARIA DE ACCIÓN  SOCIAL</t>
  </si>
  <si>
    <t>Dir. Tercera Edad</t>
  </si>
  <si>
    <t>SECRETARIA DE OBRAS  PÚBLICAS</t>
  </si>
  <si>
    <t>SECRETARIA DE FISCALIZACIÓN Y  ORGANIZACIÓN  INTERNA</t>
  </si>
  <si>
    <t>CONCEJO  DELIBERANTE</t>
  </si>
  <si>
    <t>Bloque Conc.p/Desarrollo</t>
  </si>
  <si>
    <t>CONTRALORIA  MUNICIPAL</t>
  </si>
  <si>
    <t>SECRETARIA DE SERVICIOS  PÚBLICOS</t>
  </si>
  <si>
    <t>Dir.Scios.Grales.</t>
  </si>
  <si>
    <t>Dpto.San.Higiene</t>
  </si>
  <si>
    <t>Dpto. Talleres</t>
  </si>
  <si>
    <t>Dpto.Riego</t>
  </si>
  <si>
    <t>DIRECCIÓN   GENERAL  DE  CULTURA</t>
  </si>
  <si>
    <t>Area Artes Dramáticas</t>
  </si>
  <si>
    <t>Artes del Movimiento</t>
  </si>
  <si>
    <t>Talleres Barriales</t>
  </si>
  <si>
    <t>DIRECCIÓN   GENERAL  DE  DEPORTES</t>
  </si>
  <si>
    <t>Dir.Gral. de Cultura</t>
  </si>
  <si>
    <t>Dir.Gral. de Deportes</t>
  </si>
  <si>
    <t>Dir. Desarrollo Social</t>
  </si>
  <si>
    <t>Secretaria</t>
  </si>
  <si>
    <t>Dir.Museo y Patrimonio</t>
  </si>
  <si>
    <t>Dirección</t>
  </si>
  <si>
    <t>Coord.Téc.Act.Fisicas y Rec.</t>
  </si>
  <si>
    <t>Coord.Téc.Deport.y Eventos</t>
  </si>
  <si>
    <t>SECRETARIA DE  ECONOMÍA Y  HACIENDA</t>
  </si>
  <si>
    <t>Unidad Margen Sur</t>
  </si>
  <si>
    <t xml:space="preserve">                TRANSF. CTES.</t>
  </si>
  <si>
    <t>COMPROMETIDO</t>
  </si>
  <si>
    <t xml:space="preserve">EJECUCION DEL GASTO + COMPROMETIDO (valores acumulados) </t>
  </si>
  <si>
    <t xml:space="preserve">CREDITO POR </t>
  </si>
  <si>
    <t>AREA  AJUSTADO</t>
  </si>
  <si>
    <t>Dir.Proy.Urbanisticos</t>
  </si>
  <si>
    <t>Bloque Frente p/la Victoria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</si>
</sst>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00"/>
    <numFmt numFmtId="175" formatCode="0.00000000"/>
    <numFmt numFmtId="176" formatCode="#,##0.000"/>
    <numFmt numFmtId="177" formatCode="#,##0.0000"/>
    <numFmt numFmtId="178" formatCode="#,##0.00000"/>
    <numFmt numFmtId="179" formatCode="0.0000%"/>
    <numFmt numFmtId="180" formatCode="0.000%"/>
    <numFmt numFmtId="181" formatCode="0.0%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_);\(0\)"/>
    <numFmt numFmtId="188" formatCode="&quot;$&quot;\ #,##0"/>
    <numFmt numFmtId="189" formatCode="0.00000%"/>
    <numFmt numFmtId="190" formatCode="0.000000%"/>
  </numFmts>
  <fonts count="67">
    <font>
      <sz val="11"/>
      <name val="Garamond"/>
      <family val="0"/>
    </font>
    <font>
      <sz val="20.5"/>
      <name val="Garamond"/>
      <family val="0"/>
    </font>
    <font>
      <sz val="18.25"/>
      <name val="Garamond"/>
      <family val="0"/>
    </font>
    <font>
      <sz val="19"/>
      <name val="Garamond"/>
      <family val="0"/>
    </font>
    <font>
      <sz val="21.25"/>
      <name val="Garamond"/>
      <family val="0"/>
    </font>
    <font>
      <sz val="21.5"/>
      <name val="Garamond"/>
      <family val="0"/>
    </font>
    <font>
      <sz val="19.25"/>
      <name val="Garamond"/>
      <family val="0"/>
    </font>
    <font>
      <sz val="28.75"/>
      <name val="Garamond"/>
      <family val="0"/>
    </font>
    <font>
      <sz val="20.75"/>
      <name val="Garamond"/>
      <family val="0"/>
    </font>
    <font>
      <sz val="18.75"/>
      <name val="Garamond"/>
      <family val="0"/>
    </font>
    <font>
      <sz val="21"/>
      <name val="Garamond"/>
      <family val="0"/>
    </font>
    <font>
      <sz val="19.5"/>
      <name val="Garamond"/>
      <family val="0"/>
    </font>
    <font>
      <sz val="8"/>
      <name val="Garamond"/>
      <family val="0"/>
    </font>
    <font>
      <sz val="25"/>
      <name val="Garamond"/>
      <family val="0"/>
    </font>
    <font>
      <sz val="29.75"/>
      <name val="Garamond"/>
      <family val="0"/>
    </font>
    <font>
      <sz val="21.75"/>
      <name val="Garamond"/>
      <family val="0"/>
    </font>
    <font>
      <b/>
      <sz val="9"/>
      <name val="Trebuchet MS"/>
      <family val="2"/>
    </font>
    <font>
      <b/>
      <i/>
      <sz val="9"/>
      <name val="Trebuchet MS"/>
      <family val="2"/>
    </font>
    <font>
      <b/>
      <i/>
      <u val="single"/>
      <sz val="11.75"/>
      <name val="Trebuchet MS"/>
      <family val="2"/>
    </font>
    <font>
      <b/>
      <i/>
      <u val="single"/>
      <sz val="10.25"/>
      <name val="Trebuchet MS"/>
      <family val="2"/>
    </font>
    <font>
      <b/>
      <i/>
      <u val="single"/>
      <sz val="12"/>
      <name val="Trebuchet MS"/>
      <family val="2"/>
    </font>
    <font>
      <b/>
      <i/>
      <u val="single"/>
      <sz val="11"/>
      <name val="Trebuchet MS"/>
      <family val="2"/>
    </font>
    <font>
      <b/>
      <i/>
      <u val="single"/>
      <sz val="11.25"/>
      <name val="Trebuchet MS"/>
      <family val="2"/>
    </font>
    <font>
      <b/>
      <i/>
      <u val="single"/>
      <sz val="10.5"/>
      <name val="Trebuchet MS"/>
      <family val="2"/>
    </font>
    <font>
      <b/>
      <i/>
      <u val="single"/>
      <sz val="9.75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i/>
      <sz val="8"/>
      <name val="Trebuchet MS"/>
      <family val="2"/>
    </font>
    <font>
      <b/>
      <i/>
      <sz val="10"/>
      <name val="Trebuchet MS"/>
      <family val="2"/>
    </font>
    <font>
      <b/>
      <sz val="6.25"/>
      <name val="Trebuchet MS"/>
      <family val="2"/>
    </font>
    <font>
      <b/>
      <sz val="11"/>
      <color indexed="9"/>
      <name val="Trebuchet MS"/>
      <family val="2"/>
    </font>
    <font>
      <sz val="11"/>
      <color indexed="21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b/>
      <sz val="11"/>
      <color indexed="2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11"/>
      <color indexed="44"/>
      <name val="Trebuchet MS"/>
      <family val="2"/>
    </font>
    <font>
      <sz val="6"/>
      <name val="Trebuchet MS"/>
      <family val="2"/>
    </font>
    <font>
      <sz val="11"/>
      <color indexed="9"/>
      <name val="Trebuchet MS"/>
      <family val="2"/>
    </font>
    <font>
      <sz val="11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name val="Trebuchet MS"/>
      <family val="2"/>
    </font>
    <font>
      <b/>
      <i/>
      <sz val="11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2"/>
      <color indexed="56"/>
      <name val="Trebuchet MS"/>
      <family val="2"/>
    </font>
    <font>
      <b/>
      <sz val="11"/>
      <color indexed="20"/>
      <name val="Trebuchet MS"/>
      <family val="2"/>
    </font>
    <font>
      <b/>
      <sz val="11"/>
      <color indexed="30"/>
      <name val="Trebuchet MS"/>
      <family val="2"/>
    </font>
    <font>
      <b/>
      <sz val="4.75"/>
      <name val="Trebuchet MS"/>
      <family val="2"/>
    </font>
    <font>
      <b/>
      <sz val="4.25"/>
      <name val="Trebuchet MS"/>
      <family val="2"/>
    </font>
    <font>
      <b/>
      <sz val="6.75"/>
      <name val="Trebuchet MS"/>
      <family val="2"/>
    </font>
    <font>
      <b/>
      <sz val="4"/>
      <name val="Trebuchet MS"/>
      <family val="2"/>
    </font>
    <font>
      <b/>
      <sz val="5.5"/>
      <name val="Trebuchet MS"/>
      <family val="2"/>
    </font>
    <font>
      <b/>
      <sz val="4.5"/>
      <name val="Trebuchet MS"/>
      <family val="2"/>
    </font>
    <font>
      <b/>
      <sz val="6"/>
      <name val="Trebuchet MS"/>
      <family val="2"/>
    </font>
    <font>
      <b/>
      <sz val="5"/>
      <name val="Trebuchet MS"/>
      <family val="2"/>
    </font>
    <font>
      <b/>
      <i/>
      <sz val="12"/>
      <color indexed="18"/>
      <name val="Trebuchet MS"/>
      <family val="2"/>
    </font>
    <font>
      <b/>
      <sz val="12"/>
      <color indexed="18"/>
      <name val="Garamond"/>
      <family val="1"/>
    </font>
    <font>
      <sz val="12"/>
      <color indexed="18"/>
      <name val="Garamond"/>
      <family val="1"/>
    </font>
    <font>
      <sz val="11"/>
      <color indexed="18"/>
      <name val="Garamond"/>
      <family val="1"/>
    </font>
    <font>
      <b/>
      <sz val="10.5"/>
      <name val="Garamond"/>
      <family val="1"/>
    </font>
    <font>
      <b/>
      <u val="single"/>
      <sz val="11"/>
      <name val="Garamond"/>
      <family val="1"/>
    </font>
    <font>
      <b/>
      <sz val="5.25"/>
      <name val="Trebuchet MS"/>
      <family val="2"/>
    </font>
    <font>
      <b/>
      <sz val="8"/>
      <color indexed="9"/>
      <name val="Trebuchet MS"/>
      <family val="2"/>
    </font>
  </fonts>
  <fills count="13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thin"/>
      <bottom style="double"/>
    </border>
    <border>
      <left style="hair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slantDashDot"/>
      <right style="dotted"/>
      <top style="slantDashDot"/>
      <bottom>
        <color indexed="63"/>
      </bottom>
    </border>
    <border>
      <left style="dotted"/>
      <right style="slantDashDot"/>
      <top style="slantDashDot"/>
      <bottom>
        <color indexed="63"/>
      </bottom>
    </border>
    <border>
      <left style="slantDashDot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slantDashDot"/>
      <top>
        <color indexed="63"/>
      </top>
      <bottom style="thin"/>
    </border>
    <border>
      <left style="slantDashDot"/>
      <right style="slantDashDot"/>
      <top>
        <color indexed="63"/>
      </top>
      <bottom style="thin"/>
    </border>
    <border>
      <left style="slantDashDot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slantDashDot"/>
      <top>
        <color indexed="63"/>
      </top>
      <bottom>
        <color indexed="63"/>
      </bottom>
    </border>
    <border>
      <left style="slantDashDot"/>
      <right style="dotted"/>
      <top style="thin"/>
      <bottom style="slantDashDot"/>
    </border>
    <border>
      <left>
        <color indexed="63"/>
      </left>
      <right style="dotted"/>
      <top style="thin"/>
      <bottom style="slantDashDot"/>
    </border>
    <border>
      <left style="dotted"/>
      <right style="dotted"/>
      <top style="thin"/>
      <bottom style="slantDashDot"/>
    </border>
    <border>
      <left style="dotted"/>
      <right style="slantDashDot"/>
      <top style="thin"/>
      <bottom style="slantDashDot"/>
    </border>
    <border>
      <left style="slantDashDot"/>
      <right style="dotted"/>
      <top style="slantDashDot"/>
      <bottom style="slantDashDot"/>
    </border>
    <border>
      <left>
        <color indexed="63"/>
      </left>
      <right style="dotted"/>
      <top style="slantDashDot"/>
      <bottom style="slantDashDot"/>
    </border>
    <border>
      <left style="dotted"/>
      <right style="dotted"/>
      <top style="slantDashDot"/>
      <bottom style="slantDashDot"/>
    </border>
    <border>
      <left style="dotted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tted"/>
      <right>
        <color indexed="63"/>
      </right>
      <top style="thin"/>
      <bottom style="slantDashDot"/>
    </border>
    <border>
      <left style="dotted"/>
      <right>
        <color indexed="63"/>
      </right>
      <top>
        <color indexed="63"/>
      </top>
      <bottom style="slantDashDot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 style="thin"/>
      <bottom style="double"/>
    </border>
    <border>
      <left style="double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tted"/>
      <right style="slantDashDot"/>
      <top style="slantDashDot"/>
      <bottom style="slantDashDot"/>
    </border>
    <border>
      <left style="dotted"/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 style="dotted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 style="slantDashDot"/>
    </border>
    <border>
      <left style="slantDashDot"/>
      <right style="slantDashDot"/>
      <top style="thin"/>
      <bottom style="slantDashDot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dotted"/>
      <right>
        <color indexed="63"/>
      </right>
      <top style="slantDashDot"/>
      <bottom>
        <color indexed="63"/>
      </bottom>
    </border>
    <border>
      <left>
        <color indexed="63"/>
      </left>
      <right style="dotted"/>
      <top style="slantDashDot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6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" fontId="26" fillId="0" borderId="0" xfId="0" applyNumberFormat="1" applyFont="1" applyAlignment="1">
      <alignment/>
    </xf>
    <xf numFmtId="0" fontId="27" fillId="0" borderId="4" xfId="0" applyFont="1" applyBorder="1" applyAlignment="1">
      <alignment/>
    </xf>
    <xf numFmtId="0" fontId="27" fillId="0" borderId="5" xfId="0" applyFont="1" applyBorder="1" applyAlignment="1">
      <alignment/>
    </xf>
    <xf numFmtId="0" fontId="27" fillId="0" borderId="6" xfId="0" applyFont="1" applyBorder="1" applyAlignment="1">
      <alignment/>
    </xf>
    <xf numFmtId="0" fontId="27" fillId="0" borderId="7" xfId="0" applyFont="1" applyBorder="1" applyAlignment="1">
      <alignment/>
    </xf>
    <xf numFmtId="9" fontId="26" fillId="0" borderId="0" xfId="0" applyNumberFormat="1" applyFont="1" applyAlignment="1">
      <alignment/>
    </xf>
    <xf numFmtId="4" fontId="16" fillId="0" borderId="8" xfId="0" applyNumberFormat="1" applyFont="1" applyBorder="1" applyAlignment="1">
      <alignment/>
    </xf>
    <xf numFmtId="10" fontId="16" fillId="0" borderId="8" xfId="0" applyNumberFormat="1" applyFont="1" applyBorder="1" applyAlignment="1">
      <alignment/>
    </xf>
    <xf numFmtId="10" fontId="16" fillId="0" borderId="9" xfId="0" applyNumberFormat="1" applyFont="1" applyBorder="1" applyAlignment="1">
      <alignment/>
    </xf>
    <xf numFmtId="10" fontId="16" fillId="0" borderId="10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4" fontId="16" fillId="0" borderId="13" xfId="0" applyNumberFormat="1" applyFont="1" applyBorder="1" applyAlignment="1">
      <alignment/>
    </xf>
    <xf numFmtId="17" fontId="33" fillId="0" borderId="0" xfId="0" applyNumberFormat="1" applyFont="1" applyAlignment="1">
      <alignment/>
    </xf>
    <xf numFmtId="0" fontId="16" fillId="0" borderId="0" xfId="0" applyFont="1" applyAlignment="1">
      <alignment/>
    </xf>
    <xf numFmtId="0" fontId="32" fillId="0" borderId="0" xfId="0" applyFont="1" applyAlignment="1">
      <alignment/>
    </xf>
    <xf numFmtId="17" fontId="34" fillId="0" borderId="0" xfId="0" applyNumberFormat="1" applyFont="1" applyAlignment="1">
      <alignment/>
    </xf>
    <xf numFmtId="0" fontId="35" fillId="0" borderId="0" xfId="0" applyFont="1" applyAlignment="1">
      <alignment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36" fillId="0" borderId="20" xfId="0" applyFont="1" applyBorder="1" applyAlignment="1">
      <alignment/>
    </xf>
    <xf numFmtId="3" fontId="36" fillId="0" borderId="21" xfId="0" applyNumberFormat="1" applyFont="1" applyBorder="1" applyAlignment="1">
      <alignment/>
    </xf>
    <xf numFmtId="4" fontId="37" fillId="0" borderId="22" xfId="0" applyNumberFormat="1" applyFont="1" applyBorder="1" applyAlignment="1">
      <alignment/>
    </xf>
    <xf numFmtId="4" fontId="37" fillId="0" borderId="23" xfId="0" applyNumberFormat="1" applyFont="1" applyBorder="1" applyAlignment="1">
      <alignment/>
    </xf>
    <xf numFmtId="0" fontId="36" fillId="0" borderId="21" xfId="0" applyFont="1" applyBorder="1" applyAlignment="1">
      <alignment/>
    </xf>
    <xf numFmtId="4" fontId="26" fillId="0" borderId="22" xfId="0" applyNumberFormat="1" applyFont="1" applyBorder="1" applyAlignment="1">
      <alignment/>
    </xf>
    <xf numFmtId="4" fontId="37" fillId="0" borderId="21" xfId="0" applyNumberFormat="1" applyFont="1" applyBorder="1" applyAlignment="1">
      <alignment/>
    </xf>
    <xf numFmtId="0" fontId="25" fillId="0" borderId="24" xfId="0" applyFont="1" applyBorder="1" applyAlignment="1">
      <alignment/>
    </xf>
    <xf numFmtId="3" fontId="16" fillId="0" borderId="25" xfId="0" applyNumberFormat="1" applyFont="1" applyBorder="1" applyAlignment="1">
      <alignment/>
    </xf>
    <xf numFmtId="4" fontId="37" fillId="0" borderId="26" xfId="0" applyNumberFormat="1" applyFont="1" applyBorder="1" applyAlignment="1">
      <alignment/>
    </xf>
    <xf numFmtId="4" fontId="37" fillId="0" borderId="25" xfId="0" applyNumberFormat="1" applyFont="1" applyBorder="1" applyAlignment="1">
      <alignment/>
    </xf>
    <xf numFmtId="4" fontId="37" fillId="0" borderId="27" xfId="0" applyNumberFormat="1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9" fontId="26" fillId="0" borderId="30" xfId="19" applyFont="1" applyBorder="1" applyAlignment="1">
      <alignment/>
    </xf>
    <xf numFmtId="9" fontId="26" fillId="0" borderId="30" xfId="19" applyNumberFormat="1" applyFont="1" applyBorder="1" applyAlignment="1">
      <alignment/>
    </xf>
    <xf numFmtId="9" fontId="26" fillId="0" borderId="31" xfId="19" applyFont="1" applyBorder="1" applyAlignment="1">
      <alignment/>
    </xf>
    <xf numFmtId="0" fontId="37" fillId="0" borderId="0" xfId="0" applyFont="1" applyAlignment="1">
      <alignment/>
    </xf>
    <xf numFmtId="0" fontId="25" fillId="0" borderId="0" xfId="0" applyFont="1" applyBorder="1" applyAlignment="1">
      <alignment/>
    </xf>
    <xf numFmtId="4" fontId="37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4" fontId="16" fillId="0" borderId="0" xfId="0" applyNumberFormat="1" applyFont="1" applyAlignment="1">
      <alignment/>
    </xf>
    <xf numFmtId="171" fontId="37" fillId="0" borderId="0" xfId="15" applyFont="1" applyAlignment="1">
      <alignment/>
    </xf>
    <xf numFmtId="17" fontId="35" fillId="0" borderId="0" xfId="0" applyNumberFormat="1" applyFont="1" applyAlignment="1">
      <alignment/>
    </xf>
    <xf numFmtId="3" fontId="37" fillId="0" borderId="21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3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25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41" fillId="0" borderId="0" xfId="0" applyFont="1" applyFill="1" applyAlignment="1">
      <alignment/>
    </xf>
    <xf numFmtId="3" fontId="36" fillId="0" borderId="22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4" fontId="25" fillId="0" borderId="0" xfId="0" applyNumberFormat="1" applyFont="1" applyAlignment="1">
      <alignment/>
    </xf>
    <xf numFmtId="0" fontId="42" fillId="0" borderId="0" xfId="0" applyFont="1" applyAlignment="1">
      <alignment/>
    </xf>
    <xf numFmtId="17" fontId="43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0" fontId="16" fillId="0" borderId="32" xfId="0" applyFont="1" applyBorder="1" applyAlignment="1">
      <alignment horizontal="center"/>
    </xf>
    <xf numFmtId="3" fontId="37" fillId="0" borderId="22" xfId="0" applyNumberFormat="1" applyFont="1" applyBorder="1" applyAlignment="1">
      <alignment/>
    </xf>
    <xf numFmtId="3" fontId="16" fillId="0" borderId="25" xfId="15" applyNumberFormat="1" applyFont="1" applyBorder="1" applyAlignment="1">
      <alignment/>
    </xf>
    <xf numFmtId="3" fontId="26" fillId="0" borderId="0" xfId="0" applyNumberFormat="1" applyFont="1" applyAlignment="1">
      <alignment/>
    </xf>
    <xf numFmtId="3" fontId="36" fillId="0" borderId="21" xfId="0" applyNumberFormat="1" applyFont="1" applyFill="1" applyBorder="1" applyAlignment="1">
      <alignment/>
    </xf>
    <xf numFmtId="4" fontId="37" fillId="0" borderId="22" xfId="0" applyNumberFormat="1" applyFont="1" applyFill="1" applyBorder="1" applyAlignment="1">
      <alignment/>
    </xf>
    <xf numFmtId="3" fontId="37" fillId="0" borderId="21" xfId="0" applyNumberFormat="1" applyFont="1" applyFill="1" applyBorder="1" applyAlignment="1">
      <alignment/>
    </xf>
    <xf numFmtId="4" fontId="37" fillId="0" borderId="21" xfId="0" applyNumberFormat="1" applyFont="1" applyFill="1" applyBorder="1" applyAlignment="1">
      <alignment/>
    </xf>
    <xf numFmtId="0" fontId="36" fillId="0" borderId="21" xfId="0" applyFont="1" applyFill="1" applyBorder="1" applyAlignment="1">
      <alignment/>
    </xf>
    <xf numFmtId="4" fontId="36" fillId="0" borderId="23" xfId="0" applyNumberFormat="1" applyFont="1" applyBorder="1" applyAlignment="1">
      <alignment/>
    </xf>
    <xf numFmtId="17" fontId="26" fillId="0" borderId="0" xfId="0" applyNumberFormat="1" applyFont="1" applyAlignment="1">
      <alignment/>
    </xf>
    <xf numFmtId="0" fontId="37" fillId="0" borderId="20" xfId="0" applyFont="1" applyBorder="1" applyAlignment="1">
      <alignment/>
    </xf>
    <xf numFmtId="4" fontId="37" fillId="0" borderId="33" xfId="0" applyNumberFormat="1" applyFont="1" applyBorder="1" applyAlignment="1">
      <alignment/>
    </xf>
    <xf numFmtId="0" fontId="25" fillId="0" borderId="25" xfId="0" applyFont="1" applyBorder="1" applyAlignment="1">
      <alignment/>
    </xf>
    <xf numFmtId="9" fontId="26" fillId="0" borderId="26" xfId="19" applyFont="1" applyBorder="1" applyAlignment="1">
      <alignment/>
    </xf>
    <xf numFmtId="9" fontId="26" fillId="0" borderId="34" xfId="19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10" fontId="26" fillId="0" borderId="26" xfId="19" applyNumberFormat="1" applyFont="1" applyBorder="1" applyAlignment="1">
      <alignment/>
    </xf>
    <xf numFmtId="4" fontId="37" fillId="0" borderId="32" xfId="0" applyNumberFormat="1" applyFont="1" applyBorder="1" applyAlignment="1">
      <alignment/>
    </xf>
    <xf numFmtId="0" fontId="44" fillId="0" borderId="0" xfId="0" applyFont="1" applyAlignment="1">
      <alignment/>
    </xf>
    <xf numFmtId="0" fontId="31" fillId="0" borderId="0" xfId="0" applyFont="1" applyFill="1" applyAlignment="1">
      <alignment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3" fontId="25" fillId="0" borderId="25" xfId="0" applyNumberFormat="1" applyFont="1" applyBorder="1" applyAlignment="1">
      <alignment/>
    </xf>
    <xf numFmtId="3" fontId="36" fillId="0" borderId="22" xfId="0" applyNumberFormat="1" applyFont="1" applyFill="1" applyBorder="1" applyAlignment="1">
      <alignment/>
    </xf>
    <xf numFmtId="4" fontId="37" fillId="0" borderId="35" xfId="0" applyNumberFormat="1" applyFont="1" applyBorder="1" applyAlignment="1">
      <alignment/>
    </xf>
    <xf numFmtId="10" fontId="37" fillId="0" borderId="35" xfId="0" applyNumberFormat="1" applyFont="1" applyBorder="1" applyAlignment="1">
      <alignment/>
    </xf>
    <xf numFmtId="4" fontId="37" fillId="0" borderId="36" xfId="0" applyNumberFormat="1" applyFont="1" applyBorder="1" applyAlignment="1">
      <alignment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26" fillId="0" borderId="41" xfId="0" applyFont="1" applyBorder="1" applyAlignment="1">
      <alignment/>
    </xf>
    <xf numFmtId="0" fontId="36" fillId="0" borderId="42" xfId="0" applyFont="1" applyBorder="1" applyAlignment="1">
      <alignment/>
    </xf>
    <xf numFmtId="4" fontId="37" fillId="0" borderId="43" xfId="0" applyNumberFormat="1" applyFont="1" applyBorder="1" applyAlignment="1">
      <alignment/>
    </xf>
    <xf numFmtId="4" fontId="37" fillId="0" borderId="44" xfId="0" applyNumberFormat="1" applyFont="1" applyBorder="1" applyAlignment="1">
      <alignment/>
    </xf>
    <xf numFmtId="0" fontId="25" fillId="0" borderId="45" xfId="0" applyFont="1" applyBorder="1" applyAlignment="1">
      <alignment/>
    </xf>
    <xf numFmtId="9" fontId="26" fillId="0" borderId="46" xfId="19" applyFont="1" applyBorder="1" applyAlignment="1">
      <alignment/>
    </xf>
    <xf numFmtId="9" fontId="26" fillId="0" borderId="47" xfId="19" applyFont="1" applyBorder="1" applyAlignment="1">
      <alignment/>
    </xf>
    <xf numFmtId="3" fontId="16" fillId="0" borderId="48" xfId="0" applyNumberFormat="1" applyFont="1" applyBorder="1" applyAlignment="1">
      <alignment/>
    </xf>
    <xf numFmtId="4" fontId="37" fillId="0" borderId="49" xfId="0" applyNumberFormat="1" applyFont="1" applyBorder="1" applyAlignment="1">
      <alignment/>
    </xf>
    <xf numFmtId="4" fontId="37" fillId="0" borderId="48" xfId="0" applyNumberFormat="1" applyFont="1" applyBorder="1" applyAlignment="1">
      <alignment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/>
    </xf>
    <xf numFmtId="0" fontId="16" fillId="0" borderId="53" xfId="0" applyFont="1" applyBorder="1" applyAlignment="1">
      <alignment/>
    </xf>
    <xf numFmtId="17" fontId="45" fillId="0" borderId="0" xfId="0" applyNumberFormat="1" applyFont="1" applyFill="1" applyAlignment="1">
      <alignment horizontal="center"/>
    </xf>
    <xf numFmtId="17" fontId="46" fillId="0" borderId="0" xfId="0" applyNumberFormat="1" applyFont="1" applyAlignment="1">
      <alignment/>
    </xf>
    <xf numFmtId="0" fontId="16" fillId="0" borderId="54" xfId="0" applyFont="1" applyBorder="1" applyAlignment="1">
      <alignment horizontal="center"/>
    </xf>
    <xf numFmtId="17" fontId="45" fillId="0" borderId="0" xfId="0" applyNumberFormat="1" applyFont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32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2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27" fillId="4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6" borderId="0" xfId="0" applyFont="1" applyFill="1" applyAlignment="1">
      <alignment horizontal="center"/>
    </xf>
    <xf numFmtId="0" fontId="27" fillId="7" borderId="0" xfId="0" applyFont="1" applyFill="1" applyAlignment="1">
      <alignment horizontal="center"/>
    </xf>
    <xf numFmtId="0" fontId="27" fillId="8" borderId="0" xfId="0" applyFont="1" applyFill="1" applyAlignment="1">
      <alignment horizontal="center"/>
    </xf>
    <xf numFmtId="4" fontId="37" fillId="0" borderId="55" xfId="0" applyNumberFormat="1" applyFont="1" applyBorder="1" applyAlignment="1">
      <alignment/>
    </xf>
    <xf numFmtId="4" fontId="37" fillId="0" borderId="56" xfId="0" applyNumberFormat="1" applyFont="1" applyBorder="1" applyAlignment="1">
      <alignment/>
    </xf>
    <xf numFmtId="4" fontId="37" fillId="0" borderId="57" xfId="0" applyNumberFormat="1" applyFont="1" applyBorder="1" applyAlignment="1">
      <alignment/>
    </xf>
    <xf numFmtId="10" fontId="26" fillId="0" borderId="30" xfId="19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10" fontId="26" fillId="0" borderId="58" xfId="19" applyNumberFormat="1" applyFont="1" applyBorder="1" applyAlignment="1">
      <alignment/>
    </xf>
    <xf numFmtId="9" fontId="26" fillId="0" borderId="59" xfId="19" applyFont="1" applyBorder="1" applyAlignment="1">
      <alignment/>
    </xf>
    <xf numFmtId="10" fontId="26" fillId="0" borderId="46" xfId="19" applyNumberFormat="1" applyFont="1" applyBorder="1" applyAlignment="1">
      <alignment/>
    </xf>
    <xf numFmtId="10" fontId="26" fillId="0" borderId="60" xfId="19" applyNumberFormat="1" applyFont="1" applyBorder="1" applyAlignment="1">
      <alignment/>
    </xf>
    <xf numFmtId="10" fontId="26" fillId="0" borderId="61" xfId="19" applyNumberFormat="1" applyFont="1" applyBorder="1" applyAlignment="1">
      <alignment/>
    </xf>
    <xf numFmtId="0" fontId="16" fillId="0" borderId="0" xfId="0" applyFont="1" applyAlignment="1">
      <alignment horizontal="right"/>
    </xf>
    <xf numFmtId="10" fontId="26" fillId="0" borderId="31" xfId="19" applyNumberFormat="1" applyFont="1" applyBorder="1" applyAlignment="1">
      <alignment/>
    </xf>
    <xf numFmtId="10" fontId="26" fillId="0" borderId="34" xfId="19" applyNumberFormat="1" applyFont="1" applyBorder="1" applyAlignment="1">
      <alignment/>
    </xf>
    <xf numFmtId="10" fontId="26" fillId="0" borderId="62" xfId="19" applyNumberFormat="1" applyFont="1" applyBorder="1" applyAlignment="1">
      <alignment/>
    </xf>
    <xf numFmtId="17" fontId="59" fillId="0" borderId="0" xfId="0" applyNumberFormat="1" applyFont="1" applyFill="1" applyAlignment="1">
      <alignment horizontal="center"/>
    </xf>
    <xf numFmtId="0" fontId="27" fillId="9" borderId="0" xfId="0" applyFont="1" applyFill="1" applyAlignment="1">
      <alignment horizontal="center"/>
    </xf>
    <xf numFmtId="4" fontId="37" fillId="0" borderId="63" xfId="0" applyNumberFormat="1" applyFont="1" applyBorder="1" applyAlignment="1">
      <alignment/>
    </xf>
    <xf numFmtId="0" fontId="16" fillId="10" borderId="64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6" fillId="10" borderId="65" xfId="0" applyFont="1" applyFill="1" applyBorder="1" applyAlignment="1">
      <alignment horizontal="center"/>
    </xf>
    <xf numFmtId="0" fontId="16" fillId="10" borderId="66" xfId="0" applyFont="1" applyFill="1" applyBorder="1" applyAlignment="1">
      <alignment horizontal="center"/>
    </xf>
    <xf numFmtId="0" fontId="63" fillId="11" borderId="67" xfId="0" applyFont="1" applyFill="1" applyBorder="1" applyAlignment="1">
      <alignment/>
    </xf>
    <xf numFmtId="2" fontId="26" fillId="0" borderId="0" xfId="0" applyNumberFormat="1" applyFont="1" applyAlignment="1">
      <alignment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3" fontId="34" fillId="0" borderId="0" xfId="0" applyNumberFormat="1" applyFont="1" applyAlignment="1">
      <alignment/>
    </xf>
    <xf numFmtId="0" fontId="66" fillId="0" borderId="0" xfId="0" applyFont="1" applyBorder="1" applyAlignment="1">
      <alignment/>
    </xf>
    <xf numFmtId="3" fontId="66" fillId="0" borderId="0" xfId="0" applyNumberFormat="1" applyFont="1" applyBorder="1" applyAlignment="1">
      <alignment/>
    </xf>
    <xf numFmtId="1" fontId="66" fillId="0" borderId="0" xfId="19" applyNumberFormat="1" applyFont="1" applyBorder="1" applyAlignment="1">
      <alignment/>
    </xf>
    <xf numFmtId="1" fontId="41" fillId="0" borderId="0" xfId="19" applyNumberFormat="1" applyFont="1" applyBorder="1" applyAlignment="1">
      <alignment/>
    </xf>
    <xf numFmtId="9" fontId="41" fillId="0" borderId="0" xfId="19" applyFont="1" applyBorder="1" applyAlignment="1">
      <alignment/>
    </xf>
    <xf numFmtId="0" fontId="62" fillId="0" borderId="0" xfId="0" applyFont="1" applyAlignment="1">
      <alignment horizontal="center" wrapText="1"/>
    </xf>
    <xf numFmtId="0" fontId="16" fillId="0" borderId="0" xfId="0" applyFont="1" applyAlignment="1">
      <alignment horizontal="right" vertical="center"/>
    </xf>
    <xf numFmtId="0" fontId="60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49" fillId="0" borderId="0" xfId="0" applyFont="1" applyFill="1" applyAlignment="1">
      <alignment horizontal="center" wrapText="1"/>
    </xf>
    <xf numFmtId="0" fontId="16" fillId="0" borderId="69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61" fillId="0" borderId="0" xfId="0" applyFont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center" wrapText="1"/>
    </xf>
    <xf numFmtId="0" fontId="61" fillId="0" borderId="0" xfId="0" applyFont="1" applyAlignment="1">
      <alignment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12" borderId="71" xfId="0" applyFont="1" applyFill="1" applyBorder="1" applyAlignment="1">
      <alignment horizontal="center"/>
    </xf>
    <xf numFmtId="0" fontId="16" fillId="12" borderId="72" xfId="0" applyFont="1" applyFill="1" applyBorder="1" applyAlignment="1">
      <alignment horizontal="center"/>
    </xf>
    <xf numFmtId="0" fontId="16" fillId="12" borderId="7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42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INT!$A$46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303048"/>
                </a:gs>
                <a:gs pos="50000">
                  <a:srgbClr val="666699"/>
                </a:gs>
                <a:gs pos="100000">
                  <a:srgbClr val="30304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INT!$A$47:$A$53</c:f>
              <c:numCache/>
            </c:numRef>
          </c:val>
        </c:ser>
        <c:ser>
          <c:idx val="1"/>
          <c:order val="1"/>
          <c:tx>
            <c:strRef>
              <c:f>INT!$B$46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81A1A1"/>
                </a:gs>
                <a:gs pos="50000">
                  <a:srgbClr val="CCFFFF"/>
                </a:gs>
                <a:gs pos="100000">
                  <a:srgbClr val="81A1A1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INT!$B$47:$B$53</c:f>
              <c:numCache/>
            </c:numRef>
          </c:val>
        </c:ser>
        <c:axId val="18052434"/>
        <c:axId val="28254179"/>
      </c:barChart>
      <c:catAx>
        <c:axId val="1805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1" i="0" u="none" baseline="0"/>
            </a:pPr>
          </a:p>
        </c:txPr>
        <c:crossAx val="28254179"/>
        <c:crosses val="autoZero"/>
        <c:auto val="1"/>
        <c:lblOffset val="100"/>
        <c:noMultiLvlLbl val="0"/>
      </c:catAx>
      <c:valAx>
        <c:axId val="28254179"/>
        <c:scaling>
          <c:orientation val="minMax"/>
          <c:max val="19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1805243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65"/>
          <c:y val="0.9365"/>
          <c:w val="0.471"/>
          <c:h val="0.05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05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61"/>
          <c:w val="0.98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CULTURA!$A$51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CULTURA!$C$52:$C$58</c:f>
              <c:strCache/>
            </c:strRef>
          </c:cat>
          <c:val>
            <c:numRef>
              <c:f>CULTURA!$A$52:$A$58</c:f>
              <c:numCache/>
            </c:numRef>
          </c:val>
        </c:ser>
        <c:ser>
          <c:idx val="1"/>
          <c:order val="1"/>
          <c:tx>
            <c:strRef>
              <c:f>CULTURA!$B$51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CULTURA!$C$52:$C$58</c:f>
              <c:strCache/>
            </c:strRef>
          </c:cat>
          <c:val>
            <c:numRef>
              <c:f>CULTURA!$B$52:$B$58</c:f>
              <c:numCache/>
            </c:numRef>
          </c:val>
        </c:ser>
        <c:axId val="8678604"/>
        <c:axId val="10998573"/>
      </c:barChart>
      <c:catAx>
        <c:axId val="867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1" i="0" u="none" baseline="0"/>
            </a:pPr>
          </a:p>
        </c:txPr>
        <c:crossAx val="10998573"/>
        <c:crosses val="autoZero"/>
        <c:auto val="1"/>
        <c:lblOffset val="100"/>
        <c:noMultiLvlLbl val="0"/>
      </c:catAx>
      <c:valAx>
        <c:axId val="10998573"/>
        <c:scaling>
          <c:orientation val="minMax"/>
          <c:max val="17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8678604"/>
        <c:crossesAt val="1"/>
        <c:crossBetween val="between"/>
        <c:dispUnits/>
        <c:majorUnit val="2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025"/>
          <c:y val="0.93175"/>
          <c:w val="0.495"/>
          <c:h val="0.055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927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DEPORTES!$A$47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DEPORTES!$A$48:$A$54</c:f>
              <c:numCache/>
            </c:numRef>
          </c:val>
        </c:ser>
        <c:ser>
          <c:idx val="1"/>
          <c:order val="1"/>
          <c:tx>
            <c:strRef>
              <c:f>DEPORTES!$B$47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DEPORTES!$B$48:$B$54</c:f>
              <c:numCache/>
            </c:numRef>
          </c:val>
        </c:ser>
        <c:axId val="31878294"/>
        <c:axId val="18469191"/>
      </c:barChart>
      <c:catAx>
        <c:axId val="31878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/>
            </a:pPr>
          </a:p>
        </c:txPr>
        <c:crossAx val="18469191"/>
        <c:crosses val="autoZero"/>
        <c:auto val="1"/>
        <c:lblOffset val="100"/>
        <c:noMultiLvlLbl val="0"/>
      </c:catAx>
      <c:valAx>
        <c:axId val="18469191"/>
        <c:scaling>
          <c:orientation val="minMax"/>
          <c:max val="16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31878294"/>
        <c:crossesAt val="1"/>
        <c:crossBetween val="between"/>
        <c:dispUnits/>
        <c:majorUnit val="1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625"/>
          <c:y val="0.94525"/>
          <c:w val="0.481"/>
          <c:h val="0.046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Garamond"/>
                <a:ea typeface="Garamond"/>
                <a:cs typeface="Garamond"/>
              </a:rPr>
              <a:t>Gasto por Área y Saldo de Crédito Presupuestario</a:t>
            </a:r>
          </a:p>
        </c:rich>
      </c:tx>
      <c:layout>
        <c:manualLayout>
          <c:xMode val="factor"/>
          <c:yMode val="factor"/>
          <c:x val="0.0015"/>
          <c:y val="-0.01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"/>
          <c:w val="1"/>
          <c:h val="0.851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Personal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I'!$E$61:$E$71</c:f>
              <c:numCache/>
            </c:numRef>
          </c:val>
          <c:shape val="cylinder"/>
        </c:ser>
        <c:ser>
          <c:idx val="1"/>
          <c:order val="1"/>
          <c:tx>
            <c:v>Consumo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I'!$F$61:$F$71</c:f>
              <c:numCache/>
            </c:numRef>
          </c:val>
          <c:shape val="cylinder"/>
        </c:ser>
        <c:ser>
          <c:idx val="2"/>
          <c:order val="2"/>
          <c:tx>
            <c:v>Servicios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I'!$G$61:$G$71</c:f>
              <c:numCache/>
            </c:numRef>
          </c:val>
          <c:shape val="cylinder"/>
        </c:ser>
        <c:ser>
          <c:idx val="3"/>
          <c:order val="3"/>
          <c:tx>
            <c:v>Trans.Ctes.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I'!$H$61:$H$71</c:f>
              <c:numCache/>
            </c:numRef>
          </c:val>
          <c:shape val="cylinder"/>
        </c:ser>
        <c:ser>
          <c:idx val="4"/>
          <c:order val="4"/>
          <c:tx>
            <c:v>Bs.Cap.+Preex.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I'!$I$61:$I$71</c:f>
              <c:numCache/>
            </c:numRef>
          </c:val>
          <c:shape val="cylinder"/>
        </c:ser>
        <c:ser>
          <c:idx val="5"/>
          <c:order val="5"/>
          <c:tx>
            <c:v>Trab.Públ.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I'!$J$61:$J$71</c:f>
              <c:numCache/>
            </c:numRef>
          </c:val>
          <c:shape val="cylinder"/>
        </c:ser>
        <c:ser>
          <c:idx val="7"/>
          <c:order val="6"/>
          <c:tx>
            <c:v>Amort.Dda.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I'!$K$61:$K$71</c:f>
              <c:numCache/>
            </c:numRef>
          </c:val>
          <c:shape val="cylinder"/>
        </c:ser>
        <c:ser>
          <c:idx val="6"/>
          <c:order val="7"/>
          <c:tx>
            <c:v>Sdo.Cto.Pto.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I'!$L$61:$L$71</c:f>
              <c:numCache/>
            </c:numRef>
          </c:val>
          <c:shape val="cylinder"/>
        </c:ser>
        <c:overlap val="100"/>
        <c:shape val="cylinder"/>
        <c:axId val="32004992"/>
        <c:axId val="19609473"/>
      </c:bar3DChart>
      <c:catAx>
        <c:axId val="3200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/>
            </a:pPr>
          </a:p>
        </c:txPr>
        <c:crossAx val="19609473"/>
        <c:crosses val="autoZero"/>
        <c:auto val="1"/>
        <c:lblOffset val="100"/>
        <c:noMultiLvlLbl val="0"/>
      </c:catAx>
      <c:valAx>
        <c:axId val="19609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20049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Garamond"/>
                <a:ea typeface="Garamond"/>
                <a:cs typeface="Garamond"/>
              </a:rPr>
              <a:t>Gasto por Área y Saldo de Crédito Presupuestario</a:t>
            </a:r>
          </a:p>
        </c:rich>
      </c:tx>
      <c:layout>
        <c:manualLayout>
          <c:xMode val="factor"/>
          <c:yMode val="factor"/>
          <c:x val="0.0015"/>
          <c:y val="-0.01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"/>
          <c:w val="1"/>
          <c:h val="0.850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Personal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I'!$E$61:$E$71</c:f>
              <c:numCache>
                <c:ptCount val="11"/>
                <c:pt idx="0">
                  <c:v>0.25119020598491104</c:v>
                </c:pt>
                <c:pt idx="1">
                  <c:v>0.4235930989654521</c:v>
                </c:pt>
                <c:pt idx="2">
                  <c:v>0.5315670609861505</c:v>
                </c:pt>
                <c:pt idx="3">
                  <c:v>0.29695811596825267</c:v>
                </c:pt>
                <c:pt idx="4">
                  <c:v>0.11809625723887922</c:v>
                </c:pt>
                <c:pt idx="5">
                  <c:v>0.6029174342769799</c:v>
                </c:pt>
                <c:pt idx="6">
                  <c:v>0.5270180518040875</c:v>
                </c:pt>
                <c:pt idx="7">
                  <c:v>0.589648532882409</c:v>
                </c:pt>
                <c:pt idx="8">
                  <c:v>0.4548174945127156</c:v>
                </c:pt>
                <c:pt idx="9">
                  <c:v>0.40176794282053624</c:v>
                </c:pt>
                <c:pt idx="10">
                  <c:v>0.2655407934793745</c:v>
                </c:pt>
              </c:numCache>
            </c:numRef>
          </c:val>
          <c:shape val="cylinder"/>
        </c:ser>
        <c:ser>
          <c:idx val="1"/>
          <c:order val="1"/>
          <c:tx>
            <c:v>Consumo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I'!$F$61:$F$71</c:f>
              <c:numCache>
                <c:ptCount val="11"/>
                <c:pt idx="0">
                  <c:v>0.005062799311698947</c:v>
                </c:pt>
                <c:pt idx="1">
                  <c:v>0.011552265675201432</c:v>
                </c:pt>
                <c:pt idx="2">
                  <c:v>0.1047353425579575</c:v>
                </c:pt>
                <c:pt idx="3">
                  <c:v>0.006631010939635252</c:v>
                </c:pt>
                <c:pt idx="4">
                  <c:v>0.015131979101525547</c:v>
                </c:pt>
                <c:pt idx="5">
                  <c:v>0.027554166806861558</c:v>
                </c:pt>
                <c:pt idx="6">
                  <c:v>0.014839351121797377</c:v>
                </c:pt>
                <c:pt idx="7">
                  <c:v>0.00021771728163193303</c:v>
                </c:pt>
                <c:pt idx="8">
                  <c:v>0.12172903327069852</c:v>
                </c:pt>
                <c:pt idx="9">
                  <c:v>0.008445623789112634</c:v>
                </c:pt>
                <c:pt idx="10">
                  <c:v>0.009655750219372554</c:v>
                </c:pt>
              </c:numCache>
            </c:numRef>
          </c:val>
          <c:shape val="cylinder"/>
        </c:ser>
        <c:ser>
          <c:idx val="2"/>
          <c:order val="2"/>
          <c:tx>
            <c:v>Servicios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I'!$G$61:$G$71</c:f>
              <c:numCache>
                <c:ptCount val="11"/>
                <c:pt idx="0">
                  <c:v>0.1721920306703045</c:v>
                </c:pt>
                <c:pt idx="1">
                  <c:v>0.23222391450916</c:v>
                </c:pt>
                <c:pt idx="2">
                  <c:v>0.2285376396902878</c:v>
                </c:pt>
                <c:pt idx="3">
                  <c:v>0.10938482600151812</c:v>
                </c:pt>
                <c:pt idx="4">
                  <c:v>0.046864263956722045</c:v>
                </c:pt>
                <c:pt idx="5">
                  <c:v>0.17888018826685742</c:v>
                </c:pt>
                <c:pt idx="6">
                  <c:v>0.04320624521850458</c:v>
                </c:pt>
                <c:pt idx="7">
                  <c:v>0.10479447015315507</c:v>
                </c:pt>
                <c:pt idx="8">
                  <c:v>0.14068799655521755</c:v>
                </c:pt>
                <c:pt idx="9">
                  <c:v>0.3677286783727453</c:v>
                </c:pt>
                <c:pt idx="10">
                  <c:v>0.2773834452298662</c:v>
                </c:pt>
              </c:numCache>
            </c:numRef>
          </c:val>
          <c:shape val="cylinder"/>
        </c:ser>
        <c:ser>
          <c:idx val="3"/>
          <c:order val="3"/>
          <c:tx>
            <c:v>Trans.Ctes.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I'!$H$61:$H$71</c:f>
              <c:numCache>
                <c:ptCount val="11"/>
                <c:pt idx="0">
                  <c:v>0.289797533910044</c:v>
                </c:pt>
                <c:pt idx="1">
                  <c:v>0.08955132893121694</c:v>
                </c:pt>
                <c:pt idx="2">
                  <c:v>0.0001013834666176321</c:v>
                </c:pt>
                <c:pt idx="3">
                  <c:v>0.3302801225519845</c:v>
                </c:pt>
                <c:pt idx="4">
                  <c:v>0.001510107680237494</c:v>
                </c:pt>
                <c:pt idx="5">
                  <c:v>0</c:v>
                </c:pt>
                <c:pt idx="6">
                  <c:v>0.1317136754672204</c:v>
                </c:pt>
                <c:pt idx="7">
                  <c:v>0</c:v>
                </c:pt>
                <c:pt idx="8">
                  <c:v>0.004077761228268037</c:v>
                </c:pt>
                <c:pt idx="9">
                  <c:v>0.10023358031172216</c:v>
                </c:pt>
                <c:pt idx="10">
                  <c:v>0.226142468338472</c:v>
                </c:pt>
              </c:numCache>
            </c:numRef>
          </c:val>
          <c:shape val="cylinder"/>
        </c:ser>
        <c:ser>
          <c:idx val="4"/>
          <c:order val="4"/>
          <c:tx>
            <c:v>Bs.Cap.+Preex.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I'!$I$61:$I$71</c:f>
              <c:numCache>
                <c:ptCount val="11"/>
                <c:pt idx="0">
                  <c:v>0.03841281364206222</c:v>
                </c:pt>
                <c:pt idx="1">
                  <c:v>0.01581075966816078</c:v>
                </c:pt>
                <c:pt idx="2">
                  <c:v>0.023100336942253306</c:v>
                </c:pt>
                <c:pt idx="3">
                  <c:v>0.0023163190015346533</c:v>
                </c:pt>
                <c:pt idx="4">
                  <c:v>0.007405474242160018</c:v>
                </c:pt>
                <c:pt idx="5">
                  <c:v>0.0048772771977747716</c:v>
                </c:pt>
                <c:pt idx="6">
                  <c:v>0.004904975877843526</c:v>
                </c:pt>
                <c:pt idx="7">
                  <c:v>0.017795612523476678</c:v>
                </c:pt>
                <c:pt idx="8">
                  <c:v>0.006671407249897644</c:v>
                </c:pt>
                <c:pt idx="9">
                  <c:v>0.0008437118382799449</c:v>
                </c:pt>
                <c:pt idx="10">
                  <c:v>0.019621716032222767</c:v>
                </c:pt>
              </c:numCache>
            </c:numRef>
          </c:val>
          <c:shape val="cylinder"/>
        </c:ser>
        <c:ser>
          <c:idx val="5"/>
          <c:order val="5"/>
          <c:tx>
            <c:v>Trab.Públ.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I'!$J$61:$J$71</c:f>
              <c:numCache>
                <c:ptCount val="11"/>
                <c:pt idx="0">
                  <c:v>0.012727108531944985</c:v>
                </c:pt>
                <c:pt idx="1">
                  <c:v>0.023567147420296877</c:v>
                </c:pt>
                <c:pt idx="2">
                  <c:v>0.00026355359720049053</c:v>
                </c:pt>
                <c:pt idx="3">
                  <c:v>0.0010643410158497927</c:v>
                </c:pt>
                <c:pt idx="4">
                  <c:v>0.7356924272835353</c:v>
                </c:pt>
                <c:pt idx="5">
                  <c:v>0.001536894657487605</c:v>
                </c:pt>
                <c:pt idx="6">
                  <c:v>0</c:v>
                </c:pt>
                <c:pt idx="7">
                  <c:v>0</c:v>
                </c:pt>
                <c:pt idx="8">
                  <c:v>0.037570264304424346</c:v>
                </c:pt>
                <c:pt idx="9">
                  <c:v>0.009467976964501398</c:v>
                </c:pt>
                <c:pt idx="10">
                  <c:v>0.0040276371587148925</c:v>
                </c:pt>
              </c:numCache>
            </c:numRef>
          </c:val>
          <c:shape val="cylinder"/>
        </c:ser>
        <c:ser>
          <c:idx val="7"/>
          <c:order val="6"/>
          <c:tx>
            <c:v>Amort.Dda.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I'!$K$61:$K$71</c:f>
              <c:numCache>
                <c:ptCount val="11"/>
                <c:pt idx="0">
                  <c:v>0.03247807232611185</c:v>
                </c:pt>
                <c:pt idx="1">
                  <c:v>0.03207977016226245</c:v>
                </c:pt>
                <c:pt idx="2">
                  <c:v>0.050188032449065646</c:v>
                </c:pt>
                <c:pt idx="3">
                  <c:v>0.026849659216296416</c:v>
                </c:pt>
                <c:pt idx="4">
                  <c:v>0.016214752892311987</c:v>
                </c:pt>
                <c:pt idx="5">
                  <c:v>0.051337160896244835</c:v>
                </c:pt>
                <c:pt idx="6">
                  <c:v>0.03422557729238552</c:v>
                </c:pt>
                <c:pt idx="7">
                  <c:v>0.041700690370313</c:v>
                </c:pt>
                <c:pt idx="8">
                  <c:v>0.032846656712550514</c:v>
                </c:pt>
                <c:pt idx="9">
                  <c:v>0.034479034826844494</c:v>
                </c:pt>
                <c:pt idx="10">
                  <c:v>0.033957863291890954</c:v>
                </c:pt>
              </c:numCache>
            </c:numRef>
          </c:val>
          <c:shape val="cylinder"/>
        </c:ser>
        <c:ser>
          <c:idx val="6"/>
          <c:order val="7"/>
          <c:tx>
            <c:v>Sdo.Cto.Pto.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I'!$L$61:$L$71</c:f>
              <c:numCache>
                <c:ptCount val="11"/>
                <c:pt idx="0">
                  <c:v>0.19813943562292252</c:v>
                </c:pt>
                <c:pt idx="1">
                  <c:v>0.17162171466824944</c:v>
                </c:pt>
                <c:pt idx="2">
                  <c:v>0.06150665031046716</c:v>
                </c:pt>
                <c:pt idx="3">
                  <c:v>0.22651560530492848</c:v>
                </c:pt>
                <c:pt idx="4">
                  <c:v>0.05908473760462829</c:v>
                </c:pt>
                <c:pt idx="5">
                  <c:v>0.13289687789779397</c:v>
                </c:pt>
                <c:pt idx="6">
                  <c:v>0.24409212321816104</c:v>
                </c:pt>
                <c:pt idx="7">
                  <c:v>0.24584297678901426</c:v>
                </c:pt>
                <c:pt idx="8">
                  <c:v>0.20159938616622777</c:v>
                </c:pt>
                <c:pt idx="9">
                  <c:v>0.07703345107625784</c:v>
                </c:pt>
                <c:pt idx="10">
                  <c:v>0.16367032625008615</c:v>
                </c:pt>
              </c:numCache>
            </c:numRef>
          </c:val>
          <c:shape val="cylinder"/>
        </c:ser>
        <c:overlap val="100"/>
        <c:shape val="cylinder"/>
        <c:axId val="42267530"/>
        <c:axId val="44863451"/>
      </c:bar3DChart>
      <c:catAx>
        <c:axId val="4226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/>
            </a:pPr>
          </a:p>
        </c:txPr>
        <c:crossAx val="44863451"/>
        <c:crosses val="autoZero"/>
        <c:auto val="1"/>
        <c:lblOffset val="100"/>
        <c:noMultiLvlLbl val="0"/>
      </c:catAx>
      <c:valAx>
        <c:axId val="44863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226753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325"/>
          <c:w val="0.984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GOB!$A$51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GOB!$C$52:$C$58</c:f>
              <c:strCache/>
            </c:strRef>
          </c:cat>
          <c:val>
            <c:numRef>
              <c:f>GOB!$A$52:$A$58</c:f>
              <c:numCache/>
            </c:numRef>
          </c:val>
        </c:ser>
        <c:ser>
          <c:idx val="1"/>
          <c:order val="1"/>
          <c:tx>
            <c:strRef>
              <c:f>GOB!$B$51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GOB!$C$52:$C$58</c:f>
              <c:strCache/>
            </c:strRef>
          </c:cat>
          <c:val>
            <c:numRef>
              <c:f>GOB!$B$52:$B$58</c:f>
              <c:numCache/>
            </c:numRef>
          </c:val>
        </c:ser>
        <c:axId val="52961020"/>
        <c:axId val="6887133"/>
      </c:barChart>
      <c:catAx>
        <c:axId val="52961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1" i="0" u="none" baseline="0"/>
            </a:pPr>
          </a:p>
        </c:txPr>
        <c:crossAx val="6887133"/>
        <c:crosses val="autoZero"/>
        <c:auto val="1"/>
        <c:lblOffset val="100"/>
        <c:noMultiLvlLbl val="0"/>
      </c:catAx>
      <c:valAx>
        <c:axId val="6887133"/>
        <c:scaling>
          <c:orientation val="minMax"/>
          <c:max val="50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/>
            </a:pPr>
          </a:p>
        </c:txPr>
        <c:crossAx val="5296102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25"/>
          <c:y val="0.92875"/>
          <c:w val="0.503"/>
          <c:h val="0.05875"/>
        </c:manualLayout>
      </c:layout>
      <c:overlay val="0"/>
      <c:txPr>
        <a:bodyPr vert="horz" rot="0"/>
        <a:lstStyle/>
        <a:p>
          <a:pPr>
            <a:defRPr lang="en-US" cap="none" sz="9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"/>
          <c:w val="0.994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SEH!$A$48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SEH!$A$49:$A$55</c:f>
              <c:numCache/>
            </c:numRef>
          </c:val>
        </c:ser>
        <c:ser>
          <c:idx val="1"/>
          <c:order val="1"/>
          <c:tx>
            <c:strRef>
              <c:f>SEH!$B$48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SEH!$B$49:$B$55</c:f>
              <c:numCache/>
            </c:numRef>
          </c:val>
        </c:ser>
        <c:axId val="61984198"/>
        <c:axId val="20986871"/>
      </c:barChart>
      <c:catAx>
        <c:axId val="6198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1" i="0" u="none" baseline="0"/>
            </a:pPr>
          </a:p>
        </c:txPr>
        <c:crossAx val="20986871"/>
        <c:crosses val="autoZero"/>
        <c:auto val="1"/>
        <c:lblOffset val="100"/>
        <c:noMultiLvlLbl val="0"/>
      </c:catAx>
      <c:valAx>
        <c:axId val="20986871"/>
        <c:scaling>
          <c:orientation val="minMax"/>
          <c:max val="47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1" i="0" u="none" baseline="0"/>
            </a:pPr>
          </a:p>
        </c:txPr>
        <c:crossAx val="61984198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5F5F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"/>
          <c:y val="0.9285"/>
          <c:w val="0.4705"/>
          <c:h val="0.061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7925"/>
          <c:w val="0.9967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SAS!$A$48:$A$54</c:f>
              <c:numCache/>
            </c:numRef>
          </c:val>
        </c:ser>
        <c:ser>
          <c:idx val="1"/>
          <c:order val="1"/>
          <c:tx>
            <c:strRef>
              <c:f>SAS!$B$47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SAS!$B$48:$B$54</c:f>
              <c:numCache/>
            </c:numRef>
          </c:val>
        </c:ser>
        <c:axId val="54664112"/>
        <c:axId val="22214961"/>
      </c:barChart>
      <c:catAx>
        <c:axId val="5466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/>
            </a:pPr>
          </a:p>
        </c:txPr>
        <c:crossAx val="22214961"/>
        <c:crosses val="autoZero"/>
        <c:auto val="1"/>
        <c:lblOffset val="100"/>
        <c:noMultiLvlLbl val="0"/>
      </c:catAx>
      <c:valAx>
        <c:axId val="22214961"/>
        <c:scaling>
          <c:orientation val="minMax"/>
          <c:max val="120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1" i="0" u="none" baseline="0"/>
            </a:pPr>
          </a:p>
        </c:txPr>
        <c:crossAx val="54664112"/>
        <c:crossesAt val="1"/>
        <c:crossBetween val="between"/>
        <c:dispUnits/>
        <c:majorUnit val="800000"/>
      </c:valAx>
      <c:spPr>
        <a:gradFill rotWithShape="1">
          <a:gsLst>
            <a:gs pos="0">
              <a:srgbClr val="C0C0C0"/>
            </a:gs>
            <a:gs pos="100000">
              <a:srgbClr val="F7F7F7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5"/>
          <c:y val="0.95175"/>
          <c:w val="0.50525"/>
          <c:h val="0.048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994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SOP!$A$50:$A$56</c:f>
              <c:numCache/>
            </c:numRef>
          </c:val>
        </c:ser>
        <c:ser>
          <c:idx val="1"/>
          <c:order val="1"/>
          <c:tx>
            <c:strRef>
              <c:f>SOP!$B$49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SOP!$B$50:$B$56</c:f>
              <c:numCache/>
            </c:numRef>
          </c:val>
        </c:ser>
        <c:gapWidth val="100"/>
        <c:axId val="65716922"/>
        <c:axId val="54581387"/>
      </c:barChart>
      <c:catAx>
        <c:axId val="65716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1" i="0" u="none" baseline="0"/>
            </a:pPr>
          </a:p>
        </c:txPr>
        <c:crossAx val="54581387"/>
        <c:crosses val="autoZero"/>
        <c:auto val="1"/>
        <c:lblOffset val="100"/>
        <c:noMultiLvlLbl val="0"/>
      </c:catAx>
      <c:valAx>
        <c:axId val="54581387"/>
        <c:scaling>
          <c:orientation val="minMax"/>
          <c:max val="210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65716922"/>
        <c:crossesAt val="1"/>
        <c:crossBetween val="between"/>
        <c:dispUnits/>
        <c:majorUnit val="2000000"/>
        <c:minorUnit val="100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7"/>
          <c:y val="0.9385"/>
          <c:w val="0.5225"/>
          <c:h val="0.052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52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SFOI!$A$45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2F2F46"/>
                  </a:gs>
                  <a:gs pos="50000">
                    <a:srgbClr val="666699"/>
                  </a:gs>
                  <a:gs pos="100000">
                    <a:srgbClr val="2F2F46"/>
                  </a:gs>
                </a:gsLst>
                <a:lin ang="0" scaled="1"/>
              </a:gradFill>
            </c:spPr>
          </c:dPt>
          <c:cat>
            <c:strRef>
              <c:f>SFOI!$C$46:$C$52</c:f>
              <c:strCache/>
            </c:strRef>
          </c:cat>
          <c:val>
            <c:numRef>
              <c:f>SFOI!$A$46:$A$52</c:f>
              <c:numCache/>
            </c:numRef>
          </c:val>
        </c:ser>
        <c:ser>
          <c:idx val="1"/>
          <c:order val="1"/>
          <c:tx>
            <c:strRef>
              <c:f>SFOI!$B$45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SFOI!$C$46:$C$52</c:f>
              <c:strCache/>
            </c:strRef>
          </c:cat>
          <c:val>
            <c:numRef>
              <c:f>SFOI!$B$46:$B$52</c:f>
              <c:numCache/>
            </c:numRef>
          </c:val>
        </c:ser>
        <c:axId val="21470436"/>
        <c:axId val="59016197"/>
      </c:barChart>
      <c:catAx>
        <c:axId val="2147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59016197"/>
        <c:crosses val="autoZero"/>
        <c:auto val="1"/>
        <c:lblOffset val="100"/>
        <c:noMultiLvlLbl val="0"/>
      </c:catAx>
      <c:valAx>
        <c:axId val="59016197"/>
        <c:scaling>
          <c:orientation val="minMax"/>
          <c:max val="94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21470436"/>
        <c:crossesAt val="1"/>
        <c:crossBetween val="between"/>
        <c:dispUnits/>
        <c:majorUnit val="7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3425"/>
          <c:w val="0.41975"/>
          <c:h val="0.053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9855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'CD'!$A$45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'CD'!$A$46:$A$52</c:f>
              <c:numCache/>
            </c:numRef>
          </c:val>
        </c:ser>
        <c:ser>
          <c:idx val="1"/>
          <c:order val="1"/>
          <c:tx>
            <c:strRef>
              <c:f>'CD'!$B$45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'CD'!$B$46:$B$52</c:f>
              <c:numCache/>
            </c:numRef>
          </c:val>
        </c:ser>
        <c:axId val="61383726"/>
        <c:axId val="15582623"/>
      </c:barChart>
      <c:catAx>
        <c:axId val="6138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/>
            </a:pPr>
          </a:p>
        </c:txPr>
        <c:crossAx val="15582623"/>
        <c:crosses val="autoZero"/>
        <c:auto val="1"/>
        <c:lblOffset val="100"/>
        <c:noMultiLvlLbl val="0"/>
      </c:catAx>
      <c:valAx>
        <c:axId val="15582623"/>
        <c:scaling>
          <c:orientation val="minMax"/>
          <c:max val="11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/>
            </a:pPr>
          </a:p>
        </c:txPr>
        <c:crossAx val="61383726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27"/>
          <c:w val="0.5195"/>
          <c:h val="0.060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175"/>
          <c:w val="0.9762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'CM'!$A$48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'CM'!$A$49:$A$53</c:f>
              <c:numCache/>
            </c:numRef>
          </c:val>
        </c:ser>
        <c:ser>
          <c:idx val="1"/>
          <c:order val="1"/>
          <c:tx>
            <c:strRef>
              <c:f>'CM'!$B$48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'CM'!$B$49:$B$53</c:f>
              <c:numCache/>
            </c:numRef>
          </c:val>
        </c:ser>
        <c:axId val="6025880"/>
        <c:axId val="54232921"/>
      </c:barChart>
      <c:catAx>
        <c:axId val="602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1" i="0" u="none" baseline="0"/>
            </a:pPr>
          </a:p>
        </c:txPr>
        <c:crossAx val="54232921"/>
        <c:crosses val="autoZero"/>
        <c:auto val="1"/>
        <c:lblOffset val="100"/>
        <c:noMultiLvlLbl val="0"/>
      </c:catAx>
      <c:valAx>
        <c:axId val="54232921"/>
        <c:scaling>
          <c:orientation val="minMax"/>
          <c:max val="35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6025880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75"/>
          <c:y val="0.922"/>
          <c:w val="0.61525"/>
          <c:h val="0.06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93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SSP!$A$50:$A$56</c:f>
              <c:numCache/>
            </c:numRef>
          </c:val>
        </c:ser>
        <c:ser>
          <c:idx val="1"/>
          <c:order val="1"/>
          <c:tx>
            <c:strRef>
              <c:f>SSP!$B$49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SSP!$B$50:$B$56</c:f>
              <c:numCache/>
            </c:numRef>
          </c:val>
        </c:ser>
        <c:axId val="18334242"/>
        <c:axId val="30790451"/>
      </c:barChart>
      <c:catAx>
        <c:axId val="1833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30790451"/>
        <c:crosses val="autoZero"/>
        <c:auto val="1"/>
        <c:lblOffset val="100"/>
        <c:noMultiLvlLbl val="0"/>
      </c:catAx>
      <c:valAx>
        <c:axId val="30790451"/>
        <c:scaling>
          <c:orientation val="minMax"/>
          <c:max val="210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18334242"/>
        <c:crossesAt val="1"/>
        <c:crossBetween val="between"/>
        <c:dispUnits/>
        <c:majorUnit val="2000000"/>
        <c:minorUnit val="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55"/>
          <c:y val="0.93425"/>
          <c:w val="0.514"/>
          <c:h val="0.05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Garamond"/>
          <a:ea typeface="Garamond"/>
          <a:cs typeface="Garamond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14</xdr:row>
      <xdr:rowOff>180975</xdr:rowOff>
    </xdr:from>
    <xdr:to>
      <xdr:col>12</xdr:col>
      <xdr:colOff>571500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076450" y="3286125"/>
        <a:ext cx="68008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18</xdr:row>
      <xdr:rowOff>57150</xdr:rowOff>
    </xdr:from>
    <xdr:to>
      <xdr:col>13</xdr:col>
      <xdr:colOff>409575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2466975" y="3771900"/>
        <a:ext cx="67056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19050</xdr:rowOff>
    </xdr:from>
    <xdr:to>
      <xdr:col>12</xdr:col>
      <xdr:colOff>561975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1676400" y="2714625"/>
        <a:ext cx="68961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9525</xdr:rowOff>
    </xdr:from>
    <xdr:to>
      <xdr:col>9</xdr:col>
      <xdr:colOff>276225</xdr:colOff>
      <xdr:row>34</xdr:row>
      <xdr:rowOff>123825</xdr:rowOff>
    </xdr:to>
    <xdr:graphicFrame>
      <xdr:nvGraphicFramePr>
        <xdr:cNvPr id="1" name="Chart 2"/>
        <xdr:cNvGraphicFramePr/>
      </xdr:nvGraphicFramePr>
      <xdr:xfrm>
        <a:off x="314325" y="3876675"/>
        <a:ext cx="8048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18</xdr:row>
      <xdr:rowOff>9525</xdr:rowOff>
    </xdr:from>
    <xdr:to>
      <xdr:col>10</xdr:col>
      <xdr:colOff>276225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876300" y="3876675"/>
        <a:ext cx="82772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19</xdr:row>
      <xdr:rowOff>104775</xdr:rowOff>
    </xdr:from>
    <xdr:to>
      <xdr:col>12</xdr:col>
      <xdr:colOff>114300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809750" y="4029075"/>
        <a:ext cx="66770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16</xdr:row>
      <xdr:rowOff>152400</xdr:rowOff>
    </xdr:from>
    <xdr:to>
      <xdr:col>13</xdr:col>
      <xdr:colOff>352425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2143125" y="3657600"/>
        <a:ext cx="67056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15</xdr:row>
      <xdr:rowOff>161925</xdr:rowOff>
    </xdr:from>
    <xdr:to>
      <xdr:col>12</xdr:col>
      <xdr:colOff>371475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2171700" y="3219450"/>
        <a:ext cx="65722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15</xdr:row>
      <xdr:rowOff>171450</xdr:rowOff>
    </xdr:from>
    <xdr:to>
      <xdr:col>12</xdr:col>
      <xdr:colOff>581025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1952625" y="3352800"/>
        <a:ext cx="66294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15</xdr:row>
      <xdr:rowOff>47625</xdr:rowOff>
    </xdr:from>
    <xdr:to>
      <xdr:col>12</xdr:col>
      <xdr:colOff>571500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1943100" y="3190875"/>
        <a:ext cx="68008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12</xdr:col>
      <xdr:colOff>400050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2133600" y="3133725"/>
        <a:ext cx="61912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12</xdr:col>
      <xdr:colOff>28575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1133475" y="3200400"/>
        <a:ext cx="57054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15</xdr:row>
      <xdr:rowOff>19050</xdr:rowOff>
    </xdr:from>
    <xdr:to>
      <xdr:col>12</xdr:col>
      <xdr:colOff>542925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885950" y="3152775"/>
        <a:ext cx="69246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5"/>
  <sheetViews>
    <sheetView workbookViewId="0" topLeftCell="J10">
      <selection activeCell="P14" sqref="P14"/>
    </sheetView>
  </sheetViews>
  <sheetFormatPr defaultColWidth="11.421875" defaultRowHeight="15"/>
  <cols>
    <col min="1" max="1" width="16.421875" style="1" customWidth="1"/>
    <col min="2" max="2" width="9.140625" style="1" customWidth="1"/>
    <col min="3" max="3" width="12.00390625" style="1" customWidth="1"/>
    <col min="4" max="4" width="6.7109375" style="1" customWidth="1"/>
    <col min="5" max="5" width="10.140625" style="1" customWidth="1"/>
    <col min="6" max="6" width="9.00390625" style="1" customWidth="1"/>
    <col min="7" max="7" width="12.140625" style="1" customWidth="1"/>
    <col min="8" max="8" width="9.28125" style="1" customWidth="1"/>
    <col min="9" max="9" width="12.28125" style="1" customWidth="1"/>
    <col min="10" max="10" width="9.28125" style="1" customWidth="1"/>
    <col min="11" max="11" width="10.8515625" style="1" customWidth="1"/>
    <col min="12" max="12" width="7.28125" style="1" customWidth="1"/>
    <col min="13" max="13" width="10.00390625" style="1" customWidth="1"/>
    <col min="14" max="14" width="8.7109375" style="1" customWidth="1"/>
    <col min="15" max="15" width="10.28125" style="1" customWidth="1"/>
    <col min="16" max="16" width="12.421875" style="1" customWidth="1"/>
    <col min="17" max="17" width="12.140625" style="1" customWidth="1"/>
    <col min="18" max="18" width="13.8515625" style="1" bestFit="1" customWidth="1"/>
    <col min="19" max="19" width="11.8515625" style="1" bestFit="1" customWidth="1"/>
    <col min="20" max="16384" width="11.421875" style="1" customWidth="1"/>
  </cols>
  <sheetData>
    <row r="2" spans="1:15" ht="18">
      <c r="A2" s="144" t="s">
        <v>0</v>
      </c>
      <c r="B2" s="169" t="s">
        <v>105</v>
      </c>
      <c r="C2" s="169"/>
      <c r="D2" s="170"/>
      <c r="E2" s="170"/>
      <c r="L2" s="168" t="s">
        <v>23</v>
      </c>
      <c r="M2" s="168"/>
      <c r="N2" s="148">
        <v>40817</v>
      </c>
      <c r="O2" s="23"/>
    </row>
    <row r="3" spans="2:5" ht="16.5">
      <c r="B3" s="171"/>
      <c r="C3" s="171"/>
      <c r="E3" s="22"/>
    </row>
    <row r="4" spans="3:5" ht="17.25" thickBot="1">
      <c r="C4" s="24"/>
      <c r="D4" s="24"/>
      <c r="E4" s="22"/>
    </row>
    <row r="5" spans="1:17" ht="18" thickTop="1">
      <c r="A5" s="102"/>
      <c r="B5" s="172" t="s">
        <v>1</v>
      </c>
      <c r="C5" s="173"/>
      <c r="D5" s="172" t="s">
        <v>2</v>
      </c>
      <c r="E5" s="173"/>
      <c r="F5" s="172" t="s">
        <v>3</v>
      </c>
      <c r="G5" s="173"/>
      <c r="H5" s="172" t="s">
        <v>4</v>
      </c>
      <c r="I5" s="173"/>
      <c r="J5" s="172" t="s">
        <v>32</v>
      </c>
      <c r="K5" s="173"/>
      <c r="L5" s="103" t="s">
        <v>86</v>
      </c>
      <c r="M5" s="104"/>
      <c r="N5" s="172" t="s">
        <v>33</v>
      </c>
      <c r="O5" s="173"/>
      <c r="P5" s="105" t="s">
        <v>5</v>
      </c>
      <c r="Q5" s="116" t="s">
        <v>38</v>
      </c>
    </row>
    <row r="6" spans="1:17" ht="17.25">
      <c r="A6" s="106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2" t="s">
        <v>25</v>
      </c>
      <c r="Q6" s="117" t="s">
        <v>39</v>
      </c>
    </row>
    <row r="7" spans="1:19" ht="17.25">
      <c r="A7" s="107" t="s">
        <v>14</v>
      </c>
      <c r="B7" s="32">
        <v>555511</v>
      </c>
      <c r="C7" s="33">
        <f>2000.32+303335.36+3+50986.88+113.09+86528.81</f>
        <v>442967.46</v>
      </c>
      <c r="D7" s="32">
        <v>14110</v>
      </c>
      <c r="E7" s="33">
        <f>507.5+14301.48</f>
        <v>14808.98</v>
      </c>
      <c r="F7" s="32">
        <f>575832+200000-100000</f>
        <v>675832</v>
      </c>
      <c r="G7" s="33">
        <f>40664.36+697820.47</f>
        <v>738484.83</v>
      </c>
      <c r="H7" s="32">
        <f>1044014+100000</f>
        <v>1144014</v>
      </c>
      <c r="I7" s="33">
        <f>118724.28+1031411.85</f>
        <v>1150136.13</v>
      </c>
      <c r="J7" s="32">
        <f>1323500</f>
        <v>1323500</v>
      </c>
      <c r="K7" s="33">
        <f>2130.17+2763.35</f>
        <v>4893.52</v>
      </c>
      <c r="L7" s="32">
        <v>0</v>
      </c>
      <c r="M7" s="33">
        <v>65830</v>
      </c>
      <c r="N7" s="32">
        <v>100000</v>
      </c>
      <c r="O7" s="33">
        <v>152010.11</v>
      </c>
      <c r="P7" s="108">
        <f>+O7+K7+I7+G7+E7+C7+M7</f>
        <v>2569131.03</v>
      </c>
      <c r="Q7" s="134">
        <f>+B7+D7+F7+H7+J7+N7+L7-P7</f>
        <v>1243835.9700000002</v>
      </c>
      <c r="R7" s="5"/>
      <c r="S7" s="5"/>
    </row>
    <row r="8" spans="1:17" ht="17.25">
      <c r="A8" s="107"/>
      <c r="B8" s="35"/>
      <c r="C8" s="36"/>
      <c r="D8" s="35"/>
      <c r="E8" s="33"/>
      <c r="F8" s="35"/>
      <c r="G8" s="33"/>
      <c r="H8" s="35"/>
      <c r="I8" s="33"/>
      <c r="J8" s="35"/>
      <c r="K8" s="33"/>
      <c r="L8" s="37"/>
      <c r="M8" s="33"/>
      <c r="N8" s="35"/>
      <c r="O8" s="33"/>
      <c r="P8" s="108"/>
      <c r="Q8" s="135"/>
    </row>
    <row r="9" spans="1:18" ht="17.25">
      <c r="A9" s="107" t="s">
        <v>101</v>
      </c>
      <c r="B9" s="32">
        <v>182173</v>
      </c>
      <c r="C9" s="33">
        <f>1258.14+250265.35</f>
        <v>251523.49000000002</v>
      </c>
      <c r="D9" s="32">
        <v>8477</v>
      </c>
      <c r="E9" s="33">
        <v>2443.66</v>
      </c>
      <c r="F9" s="32">
        <v>66653</v>
      </c>
      <c r="G9" s="33">
        <f>1815+26519.95</f>
        <v>28334.95</v>
      </c>
      <c r="H9" s="32">
        <f>190000+250000</f>
        <v>440000</v>
      </c>
      <c r="I9" s="33">
        <f>17222.77+440239.51</f>
        <v>457462.28</v>
      </c>
      <c r="J9" s="32">
        <v>9625</v>
      </c>
      <c r="K9" s="33">
        <f>230796.13+2088.06</f>
        <v>232884.19</v>
      </c>
      <c r="L9" s="32">
        <v>0</v>
      </c>
      <c r="M9" s="33">
        <v>0</v>
      </c>
      <c r="N9" s="35">
        <v>0</v>
      </c>
      <c r="O9" s="33">
        <v>12611.49</v>
      </c>
      <c r="P9" s="108">
        <f>+O9+K9+I9+G9+E9+C9</f>
        <v>985260.0599999999</v>
      </c>
      <c r="Q9" s="135">
        <f>+B9+D9+F9+H9+J9+N9-P9</f>
        <v>-278332.05999999994</v>
      </c>
      <c r="R9" s="5"/>
    </row>
    <row r="10" spans="1:17" ht="17.25">
      <c r="A10" s="107"/>
      <c r="B10" s="35"/>
      <c r="C10" s="33"/>
      <c r="D10" s="35"/>
      <c r="E10" s="33"/>
      <c r="F10" s="35"/>
      <c r="G10" s="33"/>
      <c r="H10" s="35"/>
      <c r="I10" s="33"/>
      <c r="J10" s="35"/>
      <c r="K10" s="33"/>
      <c r="L10" s="37"/>
      <c r="M10" s="37"/>
      <c r="N10" s="35"/>
      <c r="O10" s="33"/>
      <c r="P10" s="108"/>
      <c r="Q10" s="135"/>
    </row>
    <row r="11" spans="1:18" ht="17.25">
      <c r="A11" s="107" t="s">
        <v>100</v>
      </c>
      <c r="B11" s="32">
        <v>1123942</v>
      </c>
      <c r="C11" s="33">
        <f>2828.89+888135.72</f>
        <v>890964.61</v>
      </c>
      <c r="D11" s="32">
        <v>30062</v>
      </c>
      <c r="E11" s="33">
        <f>4465.78+10236.82</f>
        <v>14702.599999999999</v>
      </c>
      <c r="F11" s="32">
        <v>370846</v>
      </c>
      <c r="G11" s="33">
        <f>27161.26+292855.97</f>
        <v>320017.23</v>
      </c>
      <c r="H11" s="32">
        <v>220936</v>
      </c>
      <c r="I11" s="33">
        <f>7480+214057.84</f>
        <v>221537.84</v>
      </c>
      <c r="J11" s="32">
        <v>33192</v>
      </c>
      <c r="K11" s="33">
        <v>4675.25</v>
      </c>
      <c r="L11" s="32">
        <v>12900</v>
      </c>
      <c r="M11" s="37">
        <v>14500.62</v>
      </c>
      <c r="N11" s="32">
        <v>0</v>
      </c>
      <c r="O11" s="33">
        <v>40372.62</v>
      </c>
      <c r="P11" s="108">
        <f>+O11+K11+I11+G11+E11+C11+M11</f>
        <v>1506770.77</v>
      </c>
      <c r="Q11" s="135">
        <f>+B11+D11+F11+H11+J11+N11-P11+L11</f>
        <v>285107.23</v>
      </c>
      <c r="R11" s="5"/>
    </row>
    <row r="12" spans="1:17" ht="18" thickBot="1">
      <c r="A12" s="118" t="s">
        <v>11</v>
      </c>
      <c r="B12" s="113">
        <f aca="true" t="shared" si="0" ref="B12:K12">SUM(B7:B11)</f>
        <v>1861626</v>
      </c>
      <c r="C12" s="114">
        <f t="shared" si="0"/>
        <v>1585455.56</v>
      </c>
      <c r="D12" s="113">
        <f t="shared" si="0"/>
        <v>52649</v>
      </c>
      <c r="E12" s="114">
        <f t="shared" si="0"/>
        <v>31955.239999999998</v>
      </c>
      <c r="F12" s="113">
        <f t="shared" si="0"/>
        <v>1113331</v>
      </c>
      <c r="G12" s="114">
        <f t="shared" si="0"/>
        <v>1086837.0099999998</v>
      </c>
      <c r="H12" s="113">
        <f t="shared" si="0"/>
        <v>1804950</v>
      </c>
      <c r="I12" s="114">
        <f t="shared" si="0"/>
        <v>1829136.25</v>
      </c>
      <c r="J12" s="113">
        <f t="shared" si="0"/>
        <v>1366317</v>
      </c>
      <c r="K12" s="114">
        <f t="shared" si="0"/>
        <v>242452.96</v>
      </c>
      <c r="L12" s="113">
        <f aca="true" t="shared" si="1" ref="L12:Q12">SUM(L7:L11)</f>
        <v>12900</v>
      </c>
      <c r="M12" s="115">
        <f t="shared" si="1"/>
        <v>80330.62</v>
      </c>
      <c r="N12" s="113">
        <f t="shared" si="1"/>
        <v>100000</v>
      </c>
      <c r="O12" s="114">
        <f t="shared" si="1"/>
        <v>204994.21999999997</v>
      </c>
      <c r="P12" s="109">
        <f t="shared" si="1"/>
        <v>5061161.859999999</v>
      </c>
      <c r="Q12" s="136">
        <f t="shared" si="1"/>
        <v>1250611.1400000001</v>
      </c>
    </row>
    <row r="13" spans="1:17" ht="18.75" thickBot="1" thickTop="1">
      <c r="A13" s="119" t="s">
        <v>30</v>
      </c>
      <c r="B13" s="110"/>
      <c r="C13" s="141">
        <f>+C12/B12</f>
        <v>0.8516509545956062</v>
      </c>
      <c r="D13" s="111"/>
      <c r="E13" s="141">
        <f>+E12/D12</f>
        <v>0.6069486599935421</v>
      </c>
      <c r="F13" s="111"/>
      <c r="G13" s="141">
        <f>+G12/F12</f>
        <v>0.9762029531199614</v>
      </c>
      <c r="H13" s="111"/>
      <c r="I13" s="141">
        <f>+I12/H12</f>
        <v>1.0133999556774427</v>
      </c>
      <c r="J13" s="111"/>
      <c r="K13" s="142">
        <f>+K12/J12</f>
        <v>0.1774500061113197</v>
      </c>
      <c r="L13" s="140"/>
      <c r="M13" s="142">
        <f>+M12/L12</f>
        <v>6.22717984496124</v>
      </c>
      <c r="N13" s="112"/>
      <c r="O13" s="143">
        <f>+O12/N12</f>
        <v>2.0499422</v>
      </c>
      <c r="P13" s="48"/>
      <c r="Q13" s="5"/>
    </row>
    <row r="14" spans="1:17" ht="18" thickTop="1">
      <c r="A14" s="162"/>
      <c r="B14" s="163">
        <f>+B12+GOB!B17+SEH!B14+SAS!B13+SOP!$B$12+SFOI!B13+'CD'!B12+'CM'!B12+SSP!B13+CULTURA!B16+DEPORTES!B12</f>
        <v>61800000</v>
      </c>
      <c r="C14" s="163"/>
      <c r="D14" s="164">
        <f>+D12+GOB!D17+SEH!D14+SAS!D13+SOP!$D$12+SFOI!D13+'CD'!D12+'CM'!D12+SSP!D13+CULTURA!D16+DEPORTES!D12</f>
        <v>6358488</v>
      </c>
      <c r="E14" s="165"/>
      <c r="F14" s="163">
        <f>+F12+GOB!F17+SEH!F14+SAS!F13+SOP!$F$12+SFOI!F13+'CD'!F12+'CM'!F12+SSP!F13+CULTURA!F16+DEPORTES!F12</f>
        <v>20307225</v>
      </c>
      <c r="G14" s="166"/>
      <c r="H14" s="163">
        <f>+H12+GOB!H17+SEH!H14+SAS!H13+SOP!$H$12+SFOI!H13+'CD'!H12+'CM'!H12+SSP!H13+CULTURA!H16+DEPORTES!H12</f>
        <v>14530908</v>
      </c>
      <c r="I14" s="166"/>
      <c r="J14" s="163">
        <f>+J12+GOB!J17+SEH!J14+SAS!J13+SOP!$J$12+SFOI!J13+'CD'!J12+'CM'!J12+SSP!J13+CULTURA!J16+DEPORTES!J12</f>
        <v>2385720</v>
      </c>
      <c r="K14" s="166"/>
      <c r="L14" s="163">
        <f>+L12+GOB!L17+SEH!L14+SAS!L13+SOP!$L$12+SFOI!L13+'CD'!L12+SSP!L13+CULTURA!L16+DEPORTES!L12</f>
        <v>22351959</v>
      </c>
      <c r="M14" s="166"/>
      <c r="N14" s="163">
        <f>+N12+GOB!N17+SEH!N14+SAS!N13+SOP!$N$12+SFOI!N13+'CD'!N12+'CM'!L12+SSP!N13+CULTURA!N16+DEPORTES!N12</f>
        <v>4334400</v>
      </c>
      <c r="O14" s="166"/>
      <c r="P14" s="63"/>
      <c r="Q14" s="5"/>
    </row>
    <row r="15" ht="16.5">
      <c r="P15" s="5"/>
    </row>
    <row r="37" spans="1:6" ht="16.5">
      <c r="A37" s="51"/>
      <c r="B37" s="51"/>
      <c r="C37" s="51"/>
      <c r="D37" s="51"/>
      <c r="E37" s="51"/>
      <c r="F37" s="51"/>
    </row>
    <row r="39" spans="3:11" ht="16.5">
      <c r="C39" s="50"/>
      <c r="D39" s="5"/>
      <c r="E39" s="51"/>
      <c r="F39" s="51"/>
      <c r="K39" s="1" t="s">
        <v>84</v>
      </c>
    </row>
    <row r="40" spans="3:6" ht="16.5">
      <c r="C40" s="5"/>
      <c r="D40" s="5"/>
      <c r="E40" s="51"/>
      <c r="F40" s="51"/>
    </row>
    <row r="41" spans="3:6" ht="16.5">
      <c r="C41" s="5"/>
      <c r="D41" s="5"/>
      <c r="E41" s="51"/>
      <c r="F41" s="51"/>
    </row>
    <row r="42" spans="3:6" ht="16.5">
      <c r="C42" s="5"/>
      <c r="D42" s="5"/>
      <c r="E42" s="51"/>
      <c r="F42" s="51"/>
    </row>
    <row r="43" spans="3:6" ht="16.5">
      <c r="C43" s="5"/>
      <c r="D43" s="5"/>
      <c r="E43" s="51"/>
      <c r="F43" s="51"/>
    </row>
    <row r="44" spans="3:6" ht="16.5">
      <c r="C44" s="5"/>
      <c r="D44" s="5"/>
      <c r="E44" s="51"/>
      <c r="F44" s="51"/>
    </row>
    <row r="46" spans="1:3" ht="17.25">
      <c r="A46" s="21" t="s">
        <v>26</v>
      </c>
      <c r="B46" s="52" t="s">
        <v>27</v>
      </c>
      <c r="C46" s="21" t="s">
        <v>28</v>
      </c>
    </row>
    <row r="47" spans="1:3" ht="17.25">
      <c r="A47" s="53">
        <f>+B12</f>
        <v>1861626</v>
      </c>
      <c r="B47" s="50">
        <f>+C12</f>
        <v>1585455.56</v>
      </c>
      <c r="C47" s="21" t="s">
        <v>1</v>
      </c>
    </row>
    <row r="48" spans="1:3" ht="17.25">
      <c r="A48" s="53">
        <f>+D12</f>
        <v>52649</v>
      </c>
      <c r="B48" s="50">
        <f>+E12</f>
        <v>31955.239999999998</v>
      </c>
      <c r="C48" s="21" t="s">
        <v>2</v>
      </c>
    </row>
    <row r="49" spans="1:3" ht="17.25">
      <c r="A49" s="53">
        <f>+F12</f>
        <v>1113331</v>
      </c>
      <c r="B49" s="50">
        <f>+G12</f>
        <v>1086837.0099999998</v>
      </c>
      <c r="C49" s="21" t="s">
        <v>3</v>
      </c>
    </row>
    <row r="50" spans="1:3" ht="17.25">
      <c r="A50" s="53">
        <f>+H12</f>
        <v>1804950</v>
      </c>
      <c r="B50" s="50">
        <f>+I12</f>
        <v>1829136.25</v>
      </c>
      <c r="C50" s="21" t="s">
        <v>34</v>
      </c>
    </row>
    <row r="51" spans="1:3" ht="17.25">
      <c r="A51" s="53">
        <f>+J12</f>
        <v>1366317</v>
      </c>
      <c r="B51" s="50">
        <f>+K12</f>
        <v>242452.96</v>
      </c>
      <c r="C51" s="21" t="s">
        <v>32</v>
      </c>
    </row>
    <row r="52" spans="1:3" ht="17.25">
      <c r="A52" s="53">
        <f>+L12</f>
        <v>12900</v>
      </c>
      <c r="B52" s="50">
        <f>+M12</f>
        <v>80330.62</v>
      </c>
      <c r="C52" s="21" t="s">
        <v>97</v>
      </c>
    </row>
    <row r="53" spans="1:3" ht="17.25">
      <c r="A53" s="53">
        <f>+N12</f>
        <v>100000</v>
      </c>
      <c r="B53" s="50">
        <f>+O12</f>
        <v>204994.21999999997</v>
      </c>
      <c r="C53" s="21" t="s">
        <v>35</v>
      </c>
    </row>
    <row r="55" spans="1:2" ht="16.5">
      <c r="A55" s="53"/>
      <c r="B55" s="50"/>
    </row>
  </sheetData>
  <mergeCells count="9">
    <mergeCell ref="L2:M2"/>
    <mergeCell ref="B2:E2"/>
    <mergeCell ref="B3:C3"/>
    <mergeCell ref="N5:O5"/>
    <mergeCell ref="J5:K5"/>
    <mergeCell ref="B5:C5"/>
    <mergeCell ref="D5:E5"/>
    <mergeCell ref="F5:G5"/>
    <mergeCell ref="H5:I5"/>
  </mergeCells>
  <printOptions/>
  <pageMargins left="0.74" right="0.48" top="0.7480314960629921" bottom="1" header="0.34" footer="0"/>
  <pageSetup horizontalDpi="600" verticalDpi="600" orientation="landscape" paperSize="5" r:id="rId2"/>
  <headerFooter alignWithMargins="0">
    <oddHeader>&amp;R&amp;"Palatino Linotype,Normal"&amp;10CONTADURIA MUNICIPAL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0"/>
  <sheetViews>
    <sheetView workbookViewId="0" topLeftCell="A5">
      <selection activeCell="P18" sqref="P18"/>
    </sheetView>
  </sheetViews>
  <sheetFormatPr defaultColWidth="11.421875" defaultRowHeight="15"/>
  <cols>
    <col min="1" max="1" width="18.7109375" style="1" customWidth="1"/>
    <col min="2" max="2" width="9.28125" style="1" customWidth="1"/>
    <col min="3" max="3" width="12.140625" style="1" customWidth="1"/>
    <col min="4" max="4" width="7.140625" style="1" customWidth="1"/>
    <col min="5" max="5" width="9.57421875" style="1" customWidth="1"/>
    <col min="6" max="6" width="9.7109375" style="1" customWidth="1"/>
    <col min="7" max="7" width="12.140625" style="1" customWidth="1"/>
    <col min="8" max="8" width="7.421875" style="1" customWidth="1"/>
    <col min="9" max="9" width="10.57421875" style="1" customWidth="1"/>
    <col min="10" max="10" width="7.421875" style="1" customWidth="1"/>
    <col min="11" max="11" width="9.7109375" style="1" customWidth="1"/>
    <col min="12" max="12" width="7.57421875" style="1" customWidth="1"/>
    <col min="13" max="13" width="10.00390625" style="1" customWidth="1"/>
    <col min="14" max="14" width="7.57421875" style="1" customWidth="1"/>
    <col min="15" max="15" width="10.28125" style="1" customWidth="1"/>
    <col min="16" max="16" width="12.140625" style="1" customWidth="1"/>
    <col min="17" max="17" width="10.57421875" style="1" customWidth="1"/>
    <col min="18" max="18" width="11.8515625" style="1" bestFit="1" customWidth="1"/>
    <col min="19" max="19" width="13.8515625" style="1" bestFit="1" customWidth="1"/>
    <col min="20" max="16384" width="11.421875" style="1" customWidth="1"/>
  </cols>
  <sheetData>
    <row r="2" spans="1:15" ht="18">
      <c r="A2" s="144" t="s">
        <v>0</v>
      </c>
      <c r="B2" s="169" t="s">
        <v>121</v>
      </c>
      <c r="C2" s="185"/>
      <c r="D2" s="185"/>
      <c r="E2" s="186"/>
      <c r="F2" s="186"/>
      <c r="G2" s="181"/>
      <c r="K2" s="187" t="s">
        <v>23</v>
      </c>
      <c r="L2" s="187"/>
      <c r="M2" s="148">
        <v>40817</v>
      </c>
      <c r="O2" s="54"/>
    </row>
    <row r="3" spans="2:4" ht="16.5">
      <c r="B3" s="183"/>
      <c r="C3" s="184"/>
      <c r="D3" s="184"/>
    </row>
    <row r="4" ht="17.25" thickBot="1"/>
    <row r="5" spans="1:17" ht="17.25">
      <c r="A5" s="25"/>
      <c r="B5" s="176" t="s">
        <v>1</v>
      </c>
      <c r="C5" s="177"/>
      <c r="D5" s="176" t="s">
        <v>2</v>
      </c>
      <c r="E5" s="177"/>
      <c r="F5" s="176" t="s">
        <v>3</v>
      </c>
      <c r="G5" s="177"/>
      <c r="H5" s="176" t="s">
        <v>4</v>
      </c>
      <c r="I5" s="177"/>
      <c r="J5" s="176" t="s">
        <v>32</v>
      </c>
      <c r="K5" s="177"/>
      <c r="L5" s="176" t="s">
        <v>36</v>
      </c>
      <c r="M5" s="177"/>
      <c r="N5" s="176" t="s">
        <v>33</v>
      </c>
      <c r="O5" s="177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4" t="s">
        <v>25</v>
      </c>
      <c r="Q6" s="30" t="s">
        <v>39</v>
      </c>
    </row>
    <row r="7" spans="1:19" ht="17.25">
      <c r="A7" s="31" t="s">
        <v>129</v>
      </c>
      <c r="B7" s="32">
        <v>982854</v>
      </c>
      <c r="C7" s="33">
        <f>185481.41+583697.86+20169.64+45713.19+3724.62+9836.24</f>
        <v>848622.9600000001</v>
      </c>
      <c r="D7" s="32">
        <v>17960</v>
      </c>
      <c r="E7" s="33">
        <f>120.67+15360.72+246.05</f>
        <v>15727.439999999999</v>
      </c>
      <c r="F7" s="32">
        <f>638238+300000-250000+400000</f>
        <v>1088238</v>
      </c>
      <c r="G7" s="33">
        <f>136635.56+1101645.2+728.75+1000</f>
        <v>1240009.51</v>
      </c>
      <c r="H7" s="32">
        <v>240811</v>
      </c>
      <c r="I7" s="33">
        <f>24958+335535.68</f>
        <v>360493.68</v>
      </c>
      <c r="J7" s="32">
        <v>0</v>
      </c>
      <c r="K7" s="33">
        <f>1679+863.44</f>
        <v>2542.44</v>
      </c>
      <c r="L7" s="32">
        <v>0</v>
      </c>
      <c r="M7" s="37">
        <v>34051.92</v>
      </c>
      <c r="N7" s="32">
        <v>200000</v>
      </c>
      <c r="O7" s="33">
        <f>106481.52+1568.92</f>
        <v>108050.44</v>
      </c>
      <c r="P7" s="34">
        <f>+C7+E7+G7+I7+K7+O7+M7</f>
        <v>2609498.39</v>
      </c>
      <c r="Q7" s="34">
        <f>+B7+D7+F7+H7+J7+N7+L7-P7</f>
        <v>-79635.39000000013</v>
      </c>
      <c r="R7" s="5"/>
      <c r="S7" s="5"/>
    </row>
    <row r="8" spans="1:18" ht="17.25" hidden="1">
      <c r="A8" s="31" t="s">
        <v>93</v>
      </c>
      <c r="B8" s="32">
        <v>0</v>
      </c>
      <c r="C8" s="33"/>
      <c r="D8" s="32">
        <v>0</v>
      </c>
      <c r="E8" s="33"/>
      <c r="F8" s="32">
        <v>0</v>
      </c>
      <c r="G8" s="33"/>
      <c r="H8" s="32">
        <v>0</v>
      </c>
      <c r="I8" s="33"/>
      <c r="J8" s="32">
        <v>0</v>
      </c>
      <c r="K8" s="33"/>
      <c r="L8" s="32">
        <v>0</v>
      </c>
      <c r="M8" s="37"/>
      <c r="N8" s="32">
        <v>0</v>
      </c>
      <c r="O8" s="33"/>
      <c r="P8" s="34">
        <f aca="true" t="shared" si="0" ref="P8:P14">+C8+E8+G8+I8+K8+O8</f>
        <v>0</v>
      </c>
      <c r="Q8" s="34">
        <f aca="true" t="shared" si="1" ref="Q8:Q14">+B8+D8+F8+H8+J8+N8-P8</f>
        <v>0</v>
      </c>
      <c r="R8" s="5"/>
    </row>
    <row r="9" spans="1:18" ht="17.25">
      <c r="A9" s="31" t="s">
        <v>91</v>
      </c>
      <c r="B9" s="32">
        <v>257355</v>
      </c>
      <c r="C9" s="33">
        <f>56415.34+172549.33</f>
        <v>228964.66999999998</v>
      </c>
      <c r="D9" s="32">
        <v>2000</v>
      </c>
      <c r="E9" s="33">
        <v>12303.97</v>
      </c>
      <c r="F9" s="32">
        <v>249000</v>
      </c>
      <c r="G9" s="33">
        <f>4550+54134.56</f>
        <v>58684.56</v>
      </c>
      <c r="H9" s="32">
        <v>0</v>
      </c>
      <c r="I9" s="33">
        <v>0</v>
      </c>
      <c r="J9" s="32">
        <v>1500</v>
      </c>
      <c r="K9" s="33">
        <v>0</v>
      </c>
      <c r="L9" s="32">
        <v>0</v>
      </c>
      <c r="M9" s="37">
        <v>0</v>
      </c>
      <c r="N9" s="32">
        <v>0</v>
      </c>
      <c r="O9" s="33">
        <v>5077.76</v>
      </c>
      <c r="P9" s="34">
        <f t="shared" si="0"/>
        <v>305030.95999999996</v>
      </c>
      <c r="Q9" s="34">
        <f t="shared" si="1"/>
        <v>204824.04000000004</v>
      </c>
      <c r="R9" s="5"/>
    </row>
    <row r="10" spans="1:18" ht="17.25">
      <c r="A10" s="31" t="s">
        <v>122</v>
      </c>
      <c r="B10" s="32">
        <v>49792</v>
      </c>
      <c r="C10" s="33">
        <f>13834.45+30264.49</f>
        <v>44098.94</v>
      </c>
      <c r="D10" s="32">
        <v>0</v>
      </c>
      <c r="E10" s="33">
        <v>0</v>
      </c>
      <c r="F10" s="32">
        <v>0</v>
      </c>
      <c r="G10" s="33">
        <v>500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7">
        <v>0</v>
      </c>
      <c r="N10" s="32">
        <v>0</v>
      </c>
      <c r="O10" s="33">
        <v>967.67</v>
      </c>
      <c r="P10" s="34">
        <f t="shared" si="0"/>
        <v>45566.61</v>
      </c>
      <c r="Q10" s="34">
        <f t="shared" si="1"/>
        <v>4225.389999999999</v>
      </c>
      <c r="R10" s="5"/>
    </row>
    <row r="11" spans="1:18" ht="17.25">
      <c r="A11" s="31" t="s">
        <v>92</v>
      </c>
      <c r="B11" s="32">
        <v>77210</v>
      </c>
      <c r="C11" s="33">
        <f>16364.51+44983.31</f>
        <v>61347.82</v>
      </c>
      <c r="D11" s="32">
        <v>0</v>
      </c>
      <c r="E11" s="33">
        <v>2343.58</v>
      </c>
      <c r="F11" s="32">
        <v>0</v>
      </c>
      <c r="G11" s="33">
        <f>2092+20653.44</f>
        <v>22745.44</v>
      </c>
      <c r="H11" s="32">
        <v>0</v>
      </c>
      <c r="I11" s="33">
        <v>0</v>
      </c>
      <c r="J11" s="32">
        <v>0</v>
      </c>
      <c r="K11" s="33">
        <f>199+293</f>
        <v>492</v>
      </c>
      <c r="L11" s="32">
        <v>0</v>
      </c>
      <c r="M11" s="37">
        <v>0</v>
      </c>
      <c r="N11" s="32">
        <v>0</v>
      </c>
      <c r="O11" s="33">
        <v>1995.21</v>
      </c>
      <c r="P11" s="34">
        <f t="shared" si="0"/>
        <v>88924.05</v>
      </c>
      <c r="Q11" s="34">
        <f t="shared" si="1"/>
        <v>-11714.050000000003</v>
      </c>
      <c r="R11" s="5"/>
    </row>
    <row r="12" spans="1:18" ht="17.25">
      <c r="A12" s="31" t="s">
        <v>94</v>
      </c>
      <c r="B12" s="32">
        <v>113170</v>
      </c>
      <c r="C12" s="33">
        <f>13609.4+39122.08</f>
        <v>52731.48</v>
      </c>
      <c r="D12" s="32">
        <v>0</v>
      </c>
      <c r="E12" s="33">
        <v>0</v>
      </c>
      <c r="F12" s="32">
        <v>0</v>
      </c>
      <c r="G12" s="33">
        <v>609.92</v>
      </c>
      <c r="H12" s="32">
        <v>0</v>
      </c>
      <c r="I12" s="33">
        <v>0</v>
      </c>
      <c r="J12" s="32">
        <v>0</v>
      </c>
      <c r="K12" s="33">
        <v>0</v>
      </c>
      <c r="L12" s="32">
        <v>0</v>
      </c>
      <c r="M12" s="37">
        <v>0</v>
      </c>
      <c r="N12" s="32">
        <v>0</v>
      </c>
      <c r="O12" s="33">
        <v>2424.35</v>
      </c>
      <c r="P12" s="34">
        <f t="shared" si="0"/>
        <v>55765.75</v>
      </c>
      <c r="Q12" s="34">
        <f t="shared" si="1"/>
        <v>57404.25</v>
      </c>
      <c r="R12" s="5"/>
    </row>
    <row r="13" spans="1:18" ht="17.25">
      <c r="A13" s="31" t="s">
        <v>123</v>
      </c>
      <c r="B13" s="32">
        <v>157649</v>
      </c>
      <c r="C13" s="33">
        <f>29808.92+90271.75</f>
        <v>120080.67</v>
      </c>
      <c r="D13" s="32">
        <v>0</v>
      </c>
      <c r="E13" s="33">
        <v>0</v>
      </c>
      <c r="F13" s="32">
        <v>0</v>
      </c>
      <c r="G13" s="33">
        <v>0</v>
      </c>
      <c r="H13" s="32">
        <v>0</v>
      </c>
      <c r="I13" s="33">
        <v>0</v>
      </c>
      <c r="J13" s="32">
        <v>0</v>
      </c>
      <c r="K13" s="33">
        <v>0</v>
      </c>
      <c r="L13" s="32">
        <v>0</v>
      </c>
      <c r="M13" s="37">
        <v>0</v>
      </c>
      <c r="N13" s="32">
        <v>0</v>
      </c>
      <c r="O13" s="33">
        <v>3172.79</v>
      </c>
      <c r="P13" s="34">
        <f t="shared" si="0"/>
        <v>123253.45999999999</v>
      </c>
      <c r="Q13" s="34">
        <f t="shared" si="1"/>
        <v>34395.54000000001</v>
      </c>
      <c r="R13" s="5"/>
    </row>
    <row r="14" spans="1:18" ht="17.25">
      <c r="A14" s="31" t="s">
        <v>124</v>
      </c>
      <c r="B14" s="32">
        <v>0</v>
      </c>
      <c r="C14" s="33">
        <v>0</v>
      </c>
      <c r="D14" s="32">
        <v>5921</v>
      </c>
      <c r="E14" s="33">
        <v>0</v>
      </c>
      <c r="F14" s="32">
        <v>105000</v>
      </c>
      <c r="G14" s="33">
        <v>0</v>
      </c>
      <c r="H14" s="32">
        <v>0</v>
      </c>
      <c r="I14" s="33">
        <v>0</v>
      </c>
      <c r="J14" s="32">
        <v>0</v>
      </c>
      <c r="K14" s="33">
        <v>0</v>
      </c>
      <c r="L14" s="32">
        <v>0</v>
      </c>
      <c r="M14" s="37">
        <v>0</v>
      </c>
      <c r="N14" s="32">
        <v>0</v>
      </c>
      <c r="O14" s="33">
        <v>0</v>
      </c>
      <c r="P14" s="34">
        <f t="shared" si="0"/>
        <v>0</v>
      </c>
      <c r="Q14" s="34">
        <f t="shared" si="1"/>
        <v>110921</v>
      </c>
      <c r="R14" s="5"/>
    </row>
    <row r="15" spans="1:18" ht="17.25">
      <c r="A15" s="31" t="s">
        <v>130</v>
      </c>
      <c r="B15" s="32">
        <v>48076</v>
      </c>
      <c r="C15" s="33">
        <f>23964.81+65161.52</f>
        <v>89126.33</v>
      </c>
      <c r="D15" s="32">
        <v>0</v>
      </c>
      <c r="E15" s="33">
        <v>0</v>
      </c>
      <c r="F15" s="32">
        <v>0</v>
      </c>
      <c r="G15" s="33">
        <v>0</v>
      </c>
      <c r="H15" s="32">
        <v>0</v>
      </c>
      <c r="I15" s="33">
        <v>0</v>
      </c>
      <c r="J15" s="32">
        <v>0</v>
      </c>
      <c r="K15" s="33">
        <v>0</v>
      </c>
      <c r="L15" s="32">
        <v>0</v>
      </c>
      <c r="M15" s="37">
        <v>0</v>
      </c>
      <c r="N15" s="32">
        <v>0</v>
      </c>
      <c r="O15" s="33">
        <v>2316.87</v>
      </c>
      <c r="P15" s="34">
        <f>+C15+E15+G15+I15+K15+O15</f>
        <v>91443.2</v>
      </c>
      <c r="Q15" s="34">
        <f>+B15+D15+F15+H15+J15+N15-P15</f>
        <v>-43367.2</v>
      </c>
      <c r="R15" s="5"/>
    </row>
    <row r="16" spans="1:18" ht="18" thickBot="1">
      <c r="A16" s="38" t="s">
        <v>11</v>
      </c>
      <c r="B16" s="39">
        <f aca="true" t="shared" si="2" ref="B16:Q16">SUM(B7:B15)</f>
        <v>1686106</v>
      </c>
      <c r="C16" s="40">
        <f t="shared" si="2"/>
        <v>1444972.87</v>
      </c>
      <c r="D16" s="39">
        <f t="shared" si="2"/>
        <v>25881</v>
      </c>
      <c r="E16" s="40">
        <f t="shared" si="2"/>
        <v>30374.989999999998</v>
      </c>
      <c r="F16" s="39">
        <f t="shared" si="2"/>
        <v>1442238</v>
      </c>
      <c r="G16" s="40">
        <f t="shared" si="2"/>
        <v>1322549.43</v>
      </c>
      <c r="H16" s="39">
        <f t="shared" si="2"/>
        <v>240811</v>
      </c>
      <c r="I16" s="40">
        <f t="shared" si="2"/>
        <v>360493.68</v>
      </c>
      <c r="J16" s="39">
        <f t="shared" si="2"/>
        <v>1500</v>
      </c>
      <c r="K16" s="40">
        <f t="shared" si="2"/>
        <v>3034.44</v>
      </c>
      <c r="L16" s="39">
        <f t="shared" si="2"/>
        <v>0</v>
      </c>
      <c r="M16" s="40">
        <f t="shared" si="2"/>
        <v>34051.92</v>
      </c>
      <c r="N16" s="39">
        <f t="shared" si="2"/>
        <v>200000</v>
      </c>
      <c r="O16" s="40">
        <f t="shared" si="2"/>
        <v>124005.09</v>
      </c>
      <c r="P16" s="42">
        <f>SUM(P7:P15)</f>
        <v>3319482.42</v>
      </c>
      <c r="Q16" s="42">
        <f t="shared" si="2"/>
        <v>277053.5799999999</v>
      </c>
      <c r="R16" s="5"/>
    </row>
    <row r="17" spans="1:17" ht="17.25" thickBot="1">
      <c r="A17" s="43" t="s">
        <v>30</v>
      </c>
      <c r="B17" s="44"/>
      <c r="C17" s="137">
        <f>+C16/B16</f>
        <v>0.8569881549558569</v>
      </c>
      <c r="D17" s="137"/>
      <c r="E17" s="137">
        <f>+E16/D16</f>
        <v>1.173640508481125</v>
      </c>
      <c r="F17" s="137"/>
      <c r="G17" s="137">
        <f>+G16/F16</f>
        <v>0.9170119148157239</v>
      </c>
      <c r="H17" s="137"/>
      <c r="I17" s="137">
        <f>+I16/H16</f>
        <v>1.4969983929305555</v>
      </c>
      <c r="J17" s="137"/>
      <c r="K17" s="137">
        <f>+K16/J16</f>
        <v>2.02296</v>
      </c>
      <c r="L17" s="145"/>
      <c r="M17" s="137"/>
      <c r="N17" s="147"/>
      <c r="O17" s="139">
        <f>+O16/N16</f>
        <v>0.62002545</v>
      </c>
      <c r="P17" s="56"/>
      <c r="Q17" s="5"/>
    </row>
    <row r="18" spans="1:17" ht="16.5">
      <c r="A18" s="49"/>
      <c r="B18" s="49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138"/>
      <c r="Q18" s="5"/>
    </row>
    <row r="19" spans="1:16" ht="16.5">
      <c r="A19" s="49"/>
      <c r="B19" s="49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36" spans="5:8" ht="16.5">
      <c r="E36" s="57"/>
      <c r="F36" s="57"/>
      <c r="G36" s="58"/>
      <c r="H36" s="58"/>
    </row>
    <row r="37" spans="5:8" ht="16.5">
      <c r="E37" s="59"/>
      <c r="F37" s="59"/>
      <c r="G37" s="59"/>
      <c r="H37" s="59"/>
    </row>
    <row r="42" spans="1:6" ht="16.5">
      <c r="A42" s="51"/>
      <c r="B42" s="51"/>
      <c r="C42" s="51"/>
      <c r="D42" s="51"/>
      <c r="E42" s="51"/>
      <c r="F42" s="51"/>
    </row>
    <row r="43" ht="16.5">
      <c r="C43" s="48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6" spans="3:6" ht="16.5">
      <c r="C46" s="50"/>
      <c r="D46" s="5"/>
      <c r="E46" s="51"/>
      <c r="F46" s="51"/>
    </row>
    <row r="47" spans="3:6" ht="16.5">
      <c r="C47" s="50"/>
      <c r="D47" s="5"/>
      <c r="E47" s="51"/>
      <c r="F47" s="51"/>
    </row>
    <row r="48" spans="3:6" ht="16.5">
      <c r="C48" s="50"/>
      <c r="D48" s="5"/>
      <c r="E48" s="51"/>
      <c r="F48" s="51"/>
    </row>
    <row r="49" spans="3:6" ht="16.5">
      <c r="C49" s="50"/>
      <c r="D49" s="5"/>
      <c r="E49" s="51"/>
      <c r="F49" s="51"/>
    </row>
    <row r="51" spans="1:5" ht="16.5">
      <c r="A51" s="60" t="s">
        <v>26</v>
      </c>
      <c r="B51" s="60" t="s">
        <v>27</v>
      </c>
      <c r="C51" s="60" t="s">
        <v>28</v>
      </c>
      <c r="D51" s="60"/>
      <c r="E51" s="61"/>
    </row>
    <row r="52" spans="1:3" ht="17.25">
      <c r="A52" s="62">
        <f>+B16</f>
        <v>1686106</v>
      </c>
      <c r="B52" s="63">
        <f>+C16</f>
        <v>1444972.87</v>
      </c>
      <c r="C52" s="60" t="s">
        <v>1</v>
      </c>
    </row>
    <row r="53" spans="1:3" ht="17.25">
      <c r="A53" s="62">
        <f>+D16</f>
        <v>25881</v>
      </c>
      <c r="B53" s="63">
        <f>+E16</f>
        <v>30374.989999999998</v>
      </c>
      <c r="C53" s="60" t="s">
        <v>2</v>
      </c>
    </row>
    <row r="54" spans="1:3" ht="17.25">
      <c r="A54" s="62">
        <f>+F16</f>
        <v>1442238</v>
      </c>
      <c r="B54" s="63">
        <f>+G16</f>
        <v>1322549.43</v>
      </c>
      <c r="C54" s="60" t="s">
        <v>3</v>
      </c>
    </row>
    <row r="55" spans="1:3" ht="17.25">
      <c r="A55" s="62">
        <f>+H16</f>
        <v>240811</v>
      </c>
      <c r="B55" s="63">
        <f>+I16</f>
        <v>360493.68</v>
      </c>
      <c r="C55" s="60" t="s">
        <v>34</v>
      </c>
    </row>
    <row r="56" spans="1:3" ht="17.25">
      <c r="A56" s="62">
        <f>+J16</f>
        <v>1500</v>
      </c>
      <c r="B56" s="63">
        <f>+K16</f>
        <v>3034.44</v>
      </c>
      <c r="C56" s="60" t="s">
        <v>32</v>
      </c>
    </row>
    <row r="57" spans="1:3" ht="17.25">
      <c r="A57" s="64">
        <f>+L16</f>
        <v>0</v>
      </c>
      <c r="B57" s="63">
        <f>+M16</f>
        <v>34051.92</v>
      </c>
      <c r="C57" s="60" t="s">
        <v>102</v>
      </c>
    </row>
    <row r="58" spans="1:3" ht="17.25">
      <c r="A58" s="62">
        <f>+N16</f>
        <v>200000</v>
      </c>
      <c r="B58" s="63">
        <f>+O16</f>
        <v>124005.09</v>
      </c>
      <c r="C58" s="60" t="s">
        <v>35</v>
      </c>
    </row>
    <row r="59" spans="1:3" ht="17.25">
      <c r="A59" s="62"/>
      <c r="B59" s="62"/>
      <c r="C59" s="60"/>
    </row>
    <row r="60" spans="1:2" ht="16.5">
      <c r="A60" s="1">
        <v>2809993</v>
      </c>
      <c r="B60" s="5">
        <v>749308.3</v>
      </c>
    </row>
  </sheetData>
  <mergeCells count="10">
    <mergeCell ref="B2:G2"/>
    <mergeCell ref="B3:D3"/>
    <mergeCell ref="J5:K5"/>
    <mergeCell ref="N5:O5"/>
    <mergeCell ref="B5:C5"/>
    <mergeCell ref="D5:E5"/>
    <mergeCell ref="F5:G5"/>
    <mergeCell ref="H5:I5"/>
    <mergeCell ref="L5:M5"/>
    <mergeCell ref="K2:L2"/>
  </mergeCells>
  <printOptions/>
  <pageMargins left="0.7874015748031497" right="0.59" top="0.61" bottom="0.4330708661417323" header="0" footer="0"/>
  <pageSetup horizontalDpi="600" verticalDpi="6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56"/>
  <sheetViews>
    <sheetView workbookViewId="0" topLeftCell="I1">
      <selection activeCell="Q17" sqref="Q17"/>
    </sheetView>
  </sheetViews>
  <sheetFormatPr defaultColWidth="11.421875" defaultRowHeight="15"/>
  <cols>
    <col min="1" max="1" width="15.7109375" style="1" customWidth="1"/>
    <col min="2" max="2" width="9.28125" style="1" customWidth="1"/>
    <col min="3" max="3" width="12.421875" style="1" customWidth="1"/>
    <col min="4" max="4" width="6.8515625" style="1" customWidth="1"/>
    <col min="5" max="5" width="9.28125" style="1" customWidth="1"/>
    <col min="6" max="6" width="9.00390625" style="1" customWidth="1"/>
    <col min="7" max="7" width="12.140625" style="1" customWidth="1"/>
    <col min="8" max="8" width="9.140625" style="1" customWidth="1"/>
    <col min="9" max="9" width="11.8515625" style="1" customWidth="1"/>
    <col min="10" max="10" width="7.421875" style="1" customWidth="1"/>
    <col min="11" max="11" width="9.140625" style="1" customWidth="1"/>
    <col min="12" max="12" width="7.8515625" style="1" customWidth="1"/>
    <col min="13" max="13" width="9.57421875" style="1" customWidth="1"/>
    <col min="14" max="14" width="7.421875" style="1" customWidth="1"/>
    <col min="15" max="15" width="10.57421875" style="1" customWidth="1"/>
    <col min="16" max="16" width="12.00390625" style="1" customWidth="1"/>
    <col min="17" max="17" width="10.421875" style="1" customWidth="1"/>
    <col min="18" max="18" width="13.8515625" style="1" bestFit="1" customWidth="1"/>
    <col min="19" max="16384" width="11.421875" style="1" customWidth="1"/>
  </cols>
  <sheetData>
    <row r="2" spans="1:15" ht="18">
      <c r="A2" s="144" t="s">
        <v>0</v>
      </c>
      <c r="B2" s="169" t="s">
        <v>125</v>
      </c>
      <c r="C2" s="185"/>
      <c r="D2" s="185"/>
      <c r="E2" s="186"/>
      <c r="F2" s="186"/>
      <c r="G2" s="181"/>
      <c r="K2" s="188" t="s">
        <v>23</v>
      </c>
      <c r="L2" s="189"/>
      <c r="M2" s="148">
        <v>40817</v>
      </c>
      <c r="O2" s="54"/>
    </row>
    <row r="3" spans="2:4" ht="16.5">
      <c r="B3" s="183"/>
      <c r="C3" s="184"/>
      <c r="D3" s="184"/>
    </row>
    <row r="4" ht="17.25" thickBot="1"/>
    <row r="5" spans="1:17" ht="17.25">
      <c r="A5" s="25"/>
      <c r="B5" s="176" t="s">
        <v>1</v>
      </c>
      <c r="C5" s="177"/>
      <c r="D5" s="176" t="s">
        <v>2</v>
      </c>
      <c r="E5" s="177"/>
      <c r="F5" s="176" t="s">
        <v>3</v>
      </c>
      <c r="G5" s="177"/>
      <c r="H5" s="176" t="s">
        <v>4</v>
      </c>
      <c r="I5" s="177"/>
      <c r="J5" s="176" t="s">
        <v>32</v>
      </c>
      <c r="K5" s="177"/>
      <c r="L5" s="176" t="s">
        <v>36</v>
      </c>
      <c r="M5" s="177"/>
      <c r="N5" s="176" t="s">
        <v>33</v>
      </c>
      <c r="O5" s="177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4" t="s">
        <v>25</v>
      </c>
      <c r="Q6" s="30" t="s">
        <v>39</v>
      </c>
    </row>
    <row r="7" spans="1:17" ht="17.25">
      <c r="A7" s="95"/>
      <c r="B7" s="157"/>
      <c r="C7" s="158"/>
      <c r="D7" s="157"/>
      <c r="E7" s="158"/>
      <c r="F7" s="157"/>
      <c r="G7" s="158"/>
      <c r="H7" s="157"/>
      <c r="I7" s="158"/>
      <c r="J7" s="157"/>
      <c r="K7" s="158"/>
      <c r="L7" s="157"/>
      <c r="M7" s="157"/>
      <c r="N7" s="157"/>
      <c r="O7" s="158"/>
      <c r="P7" s="159"/>
      <c r="Q7" s="160"/>
    </row>
    <row r="8" spans="1:18" ht="17.25">
      <c r="A8" s="31" t="s">
        <v>131</v>
      </c>
      <c r="B8" s="32">
        <v>1567215</v>
      </c>
      <c r="C8" s="33">
        <f>254344.83+766879.91+51015.96+117385.31+29274.63+79615.88</f>
        <v>1298516.52</v>
      </c>
      <c r="D8" s="32">
        <v>33506</v>
      </c>
      <c r="E8" s="33">
        <f>5938.46+41278.96</f>
        <v>47217.42</v>
      </c>
      <c r="F8" s="32">
        <f>1318843+300000-100000</f>
        <v>1518843</v>
      </c>
      <c r="G8" s="33">
        <f>147808.12+1190606.95+1764+9874+924+5451</f>
        <v>1356428.0699999998</v>
      </c>
      <c r="H8" s="32">
        <v>1024519</v>
      </c>
      <c r="I8" s="33">
        <f>44112.37+1061743.07</f>
        <v>1105855.4400000002</v>
      </c>
      <c r="J8" s="32">
        <f>130000</f>
        <v>130000</v>
      </c>
      <c r="K8" s="33">
        <v>95951.82</v>
      </c>
      <c r="L8" s="32">
        <v>416000</v>
      </c>
      <c r="M8" s="37">
        <v>19695.48</v>
      </c>
      <c r="N8" s="32">
        <v>200000</v>
      </c>
      <c r="O8" s="33">
        <v>166056.77</v>
      </c>
      <c r="P8" s="34">
        <f>+C8+E8+G8+I8+K8+O8+M8</f>
        <v>4089721.52</v>
      </c>
      <c r="Q8" s="34">
        <f>+B8+D8+F8+H8+J8+N8+L8-P8</f>
        <v>800361.48</v>
      </c>
      <c r="R8" s="161"/>
    </row>
    <row r="9" spans="1:18" ht="17.25" hidden="1">
      <c r="A9" s="31" t="s">
        <v>132</v>
      </c>
      <c r="B9" s="32">
        <v>0</v>
      </c>
      <c r="C9" s="33"/>
      <c r="D9" s="32">
        <v>0</v>
      </c>
      <c r="E9" s="33"/>
      <c r="F9" s="32">
        <v>0</v>
      </c>
      <c r="G9" s="33"/>
      <c r="H9" s="32">
        <v>0</v>
      </c>
      <c r="I9" s="33"/>
      <c r="J9" s="32">
        <v>0</v>
      </c>
      <c r="K9" s="33"/>
      <c r="L9" s="32">
        <v>0</v>
      </c>
      <c r="M9" s="37"/>
      <c r="N9" s="32">
        <v>0</v>
      </c>
      <c r="O9" s="33"/>
      <c r="P9" s="34">
        <f>+C9+E9+G9+I9+K9+O9</f>
        <v>0</v>
      </c>
      <c r="Q9" s="34">
        <f>+B9+D9+F9+H9+J9+N9-P9</f>
        <v>0</v>
      </c>
      <c r="R9" s="5"/>
    </row>
    <row r="10" spans="1:18" ht="17.25" hidden="1">
      <c r="A10" s="31" t="s">
        <v>133</v>
      </c>
      <c r="B10" s="32">
        <v>0</v>
      </c>
      <c r="C10" s="33"/>
      <c r="D10" s="35">
        <v>0</v>
      </c>
      <c r="E10" s="33"/>
      <c r="F10" s="32">
        <v>0</v>
      </c>
      <c r="G10" s="33"/>
      <c r="H10" s="32">
        <v>0</v>
      </c>
      <c r="I10" s="33"/>
      <c r="J10" s="35">
        <v>0</v>
      </c>
      <c r="K10" s="33"/>
      <c r="L10" s="32">
        <v>0</v>
      </c>
      <c r="M10" s="37"/>
      <c r="N10" s="32">
        <v>0</v>
      </c>
      <c r="O10" s="33"/>
      <c r="P10" s="34">
        <f>+C10+E10+G10+I10+K10+O10</f>
        <v>0</v>
      </c>
      <c r="Q10" s="34">
        <f>+B10+D10+F10+H10+J10+N10-P10</f>
        <v>0</v>
      </c>
      <c r="R10" s="5"/>
    </row>
    <row r="11" spans="1:18" ht="14.25" customHeight="1">
      <c r="A11" s="31"/>
      <c r="B11" s="32"/>
      <c r="C11" s="33"/>
      <c r="D11" s="35"/>
      <c r="E11" s="33"/>
      <c r="F11" s="32"/>
      <c r="G11" s="33"/>
      <c r="H11" s="32"/>
      <c r="I11" s="33"/>
      <c r="J11" s="35"/>
      <c r="K11" s="33"/>
      <c r="L11" s="37"/>
      <c r="M11" s="37"/>
      <c r="N11" s="32"/>
      <c r="O11" s="33"/>
      <c r="P11" s="34"/>
      <c r="Q11" s="34"/>
      <c r="R11" s="5"/>
    </row>
    <row r="12" spans="1:18" ht="18" thickBot="1">
      <c r="A12" s="38" t="s">
        <v>11</v>
      </c>
      <c r="B12" s="39">
        <f aca="true" t="shared" si="0" ref="B12:Q12">SUM(B8:B11)</f>
        <v>1567215</v>
      </c>
      <c r="C12" s="40">
        <f t="shared" si="0"/>
        <v>1298516.52</v>
      </c>
      <c r="D12" s="39">
        <f t="shared" si="0"/>
        <v>33506</v>
      </c>
      <c r="E12" s="40">
        <f t="shared" si="0"/>
        <v>47217.42</v>
      </c>
      <c r="F12" s="39">
        <f t="shared" si="0"/>
        <v>1518843</v>
      </c>
      <c r="G12" s="40">
        <f t="shared" si="0"/>
        <v>1356428.0699999998</v>
      </c>
      <c r="H12" s="39">
        <f t="shared" si="0"/>
        <v>1024519</v>
      </c>
      <c r="I12" s="40">
        <f t="shared" si="0"/>
        <v>1105855.4400000002</v>
      </c>
      <c r="J12" s="39">
        <f t="shared" si="0"/>
        <v>130000</v>
      </c>
      <c r="K12" s="40">
        <f t="shared" si="0"/>
        <v>95951.82</v>
      </c>
      <c r="L12" s="39">
        <f t="shared" si="0"/>
        <v>416000</v>
      </c>
      <c r="M12" s="40">
        <f t="shared" si="0"/>
        <v>19695.48</v>
      </c>
      <c r="N12" s="39">
        <f t="shared" si="0"/>
        <v>200000</v>
      </c>
      <c r="O12" s="40">
        <f t="shared" si="0"/>
        <v>166056.77</v>
      </c>
      <c r="P12" s="42">
        <f t="shared" si="0"/>
        <v>4089721.52</v>
      </c>
      <c r="Q12" s="42">
        <f t="shared" si="0"/>
        <v>800361.48</v>
      </c>
      <c r="R12" s="5"/>
    </row>
    <row r="13" spans="1:17" ht="17.25" thickBot="1">
      <c r="A13" s="43" t="s">
        <v>30</v>
      </c>
      <c r="B13" s="44"/>
      <c r="C13" s="137">
        <f>+C12/B12</f>
        <v>0.82855033929614</v>
      </c>
      <c r="D13" s="137"/>
      <c r="E13" s="137">
        <f>+E12/D12</f>
        <v>1.4092228257625499</v>
      </c>
      <c r="F13" s="137"/>
      <c r="G13" s="137">
        <f>+G12/F12</f>
        <v>0.8930666764109259</v>
      </c>
      <c r="H13" s="45"/>
      <c r="I13" s="137">
        <f>+I12/H12</f>
        <v>1.0793898795434738</v>
      </c>
      <c r="J13" s="45"/>
      <c r="K13" s="45"/>
      <c r="L13" s="47"/>
      <c r="M13" s="145">
        <f>+M12/L12</f>
        <v>0.04734490384615384</v>
      </c>
      <c r="N13" s="45"/>
      <c r="O13" s="139">
        <f>+O12/N12</f>
        <v>0.8302838499999999</v>
      </c>
      <c r="P13" s="56"/>
      <c r="Q13" s="5"/>
    </row>
    <row r="14" spans="1:17" ht="9" customHeight="1">
      <c r="A14" s="49"/>
      <c r="B14" s="49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"/>
    </row>
    <row r="15" spans="1:16" ht="16.5">
      <c r="A15" s="49"/>
      <c r="B15" s="49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138"/>
    </row>
    <row r="32" spans="5:8" ht="16.5">
      <c r="E32" s="57"/>
      <c r="F32" s="57"/>
      <c r="G32" s="58"/>
      <c r="H32" s="58"/>
    </row>
    <row r="33" spans="5:8" ht="16.5">
      <c r="E33" s="59"/>
      <c r="F33" s="59"/>
      <c r="G33" s="59"/>
      <c r="H33" s="59"/>
    </row>
    <row r="38" spans="1:6" ht="16.5">
      <c r="A38" s="51"/>
      <c r="B38" s="51"/>
      <c r="C38" s="51"/>
      <c r="D38" s="51"/>
      <c r="E38" s="51"/>
      <c r="F38" s="51"/>
    </row>
    <row r="39" ht="16.5">
      <c r="C39" s="48"/>
    </row>
    <row r="40" spans="3:6" ht="16.5">
      <c r="C40" s="50"/>
      <c r="D40" s="5"/>
      <c r="E40" s="51"/>
      <c r="F40" s="51"/>
    </row>
    <row r="41" spans="3:6" ht="16.5">
      <c r="C41" s="50"/>
      <c r="D41" s="5"/>
      <c r="E41" s="51"/>
      <c r="F41" s="51"/>
    </row>
    <row r="42" spans="3:6" ht="16.5">
      <c r="C42" s="50"/>
      <c r="D42" s="5"/>
      <c r="E42" s="51"/>
      <c r="F42" s="51"/>
    </row>
    <row r="43" spans="3:6" ht="16.5">
      <c r="C43" s="50"/>
      <c r="D43" s="5"/>
      <c r="E43" s="51"/>
      <c r="F43" s="51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7" spans="1:5" ht="16.5">
      <c r="A47" s="60" t="s">
        <v>26</v>
      </c>
      <c r="B47" s="60" t="s">
        <v>27</v>
      </c>
      <c r="C47" s="60" t="s">
        <v>28</v>
      </c>
      <c r="D47" s="60"/>
      <c r="E47" s="61"/>
    </row>
    <row r="48" spans="1:3" ht="17.25">
      <c r="A48" s="62">
        <f>+B12</f>
        <v>1567215</v>
      </c>
      <c r="B48" s="63">
        <f>+C12</f>
        <v>1298516.52</v>
      </c>
      <c r="C48" s="60" t="s">
        <v>1</v>
      </c>
    </row>
    <row r="49" spans="1:3" ht="17.25">
      <c r="A49" s="62">
        <f>+D12</f>
        <v>33506</v>
      </c>
      <c r="B49" s="63">
        <f>+E12</f>
        <v>47217.42</v>
      </c>
      <c r="C49" s="60" t="s">
        <v>2</v>
      </c>
    </row>
    <row r="50" spans="1:3" ht="17.25">
      <c r="A50" s="62">
        <f>+F12</f>
        <v>1518843</v>
      </c>
      <c r="B50" s="63">
        <f>+G12</f>
        <v>1356428.0699999998</v>
      </c>
      <c r="C50" s="60" t="s">
        <v>3</v>
      </c>
    </row>
    <row r="51" spans="1:3" ht="17.25">
      <c r="A51" s="62">
        <f>+H12</f>
        <v>1024519</v>
      </c>
      <c r="B51" s="63">
        <f>+I12</f>
        <v>1105855.4400000002</v>
      </c>
      <c r="C51" s="60" t="s">
        <v>34</v>
      </c>
    </row>
    <row r="52" spans="1:3" ht="17.25">
      <c r="A52" s="62">
        <f>+J12</f>
        <v>130000</v>
      </c>
      <c r="B52" s="63">
        <f>+K12</f>
        <v>95951.82</v>
      </c>
      <c r="C52" s="60" t="s">
        <v>32</v>
      </c>
    </row>
    <row r="53" spans="1:3" ht="17.25">
      <c r="A53" s="64">
        <f>+L12</f>
        <v>416000</v>
      </c>
      <c r="B53" s="63">
        <f>+M12</f>
        <v>19695.48</v>
      </c>
      <c r="C53" s="60" t="s">
        <v>102</v>
      </c>
    </row>
    <row r="54" spans="1:3" ht="17.25">
      <c r="A54" s="62">
        <f>+N12</f>
        <v>200000</v>
      </c>
      <c r="B54" s="63">
        <f>+O12</f>
        <v>166056.77</v>
      </c>
      <c r="C54" s="60" t="s">
        <v>35</v>
      </c>
    </row>
    <row r="55" spans="1:3" ht="17.25">
      <c r="A55" s="62">
        <f>SUM(A48:A54)</f>
        <v>4890083</v>
      </c>
      <c r="B55" s="63">
        <f>SUM(B48:B54)</f>
        <v>4089721.52</v>
      </c>
      <c r="C55" s="60"/>
    </row>
    <row r="56" ht="16.5">
      <c r="B56" s="5"/>
    </row>
  </sheetData>
  <mergeCells count="10">
    <mergeCell ref="B2:G2"/>
    <mergeCell ref="K2:L2"/>
    <mergeCell ref="B3:D3"/>
    <mergeCell ref="J5:K5"/>
    <mergeCell ref="N5:O5"/>
    <mergeCell ref="B5:C5"/>
    <mergeCell ref="D5:E5"/>
    <mergeCell ref="F5:G5"/>
    <mergeCell ref="H5:I5"/>
    <mergeCell ref="L5:M5"/>
  </mergeCells>
  <printOptions/>
  <pageMargins left="0.93" right="0.45" top="0.95" bottom="0.58" header="0.41" footer="0"/>
  <pageSetup horizontalDpi="600" verticalDpi="6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F1">
      <selection activeCell="E17" sqref="E17:K17"/>
    </sheetView>
  </sheetViews>
  <sheetFormatPr defaultColWidth="11.421875" defaultRowHeight="15"/>
  <cols>
    <col min="1" max="1" width="20.57421875" style="1" customWidth="1"/>
    <col min="2" max="2" width="14.28125" style="1" customWidth="1"/>
    <col min="3" max="3" width="14.00390625" style="1" customWidth="1"/>
    <col min="4" max="4" width="8.57421875" style="1" customWidth="1"/>
    <col min="5" max="5" width="13.140625" style="1" customWidth="1"/>
    <col min="6" max="6" width="12.28125" style="1" customWidth="1"/>
    <col min="7" max="7" width="13.00390625" style="1" customWidth="1"/>
    <col min="8" max="8" width="13.140625" style="1" customWidth="1"/>
    <col min="9" max="9" width="12.28125" style="1" customWidth="1"/>
    <col min="10" max="10" width="13.28125" style="1" customWidth="1"/>
    <col min="11" max="11" width="12.57421875" style="1" customWidth="1"/>
    <col min="12" max="12" width="13.140625" style="1" customWidth="1"/>
    <col min="13" max="13" width="11.421875" style="1" customWidth="1"/>
    <col min="14" max="14" width="12.28125" style="1" bestFit="1" customWidth="1"/>
    <col min="15" max="16384" width="11.421875" style="1" customWidth="1"/>
  </cols>
  <sheetData>
    <row r="1" ht="16.5">
      <c r="A1" s="17" t="s">
        <v>41</v>
      </c>
    </row>
    <row r="2" spans="1:3" ht="18.75" thickBot="1">
      <c r="A2" s="18" t="s">
        <v>42</v>
      </c>
      <c r="C2" s="148">
        <v>40817</v>
      </c>
    </row>
    <row r="3" spans="1:12" ht="18" thickTop="1">
      <c r="A3" s="2" t="s">
        <v>43</v>
      </c>
      <c r="B3" s="151" t="s">
        <v>139</v>
      </c>
      <c r="C3" s="151" t="s">
        <v>25</v>
      </c>
      <c r="D3" s="151" t="s">
        <v>44</v>
      </c>
      <c r="E3" s="190" t="s">
        <v>45</v>
      </c>
      <c r="F3" s="191"/>
      <c r="G3" s="191"/>
      <c r="H3" s="191"/>
      <c r="I3" s="191"/>
      <c r="J3" s="191"/>
      <c r="K3" s="192"/>
      <c r="L3" s="153" t="s">
        <v>24</v>
      </c>
    </row>
    <row r="4" spans="1:12" ht="17.25">
      <c r="A4" s="3"/>
      <c r="B4" s="152" t="s">
        <v>140</v>
      </c>
      <c r="C4" s="152" t="s">
        <v>46</v>
      </c>
      <c r="D4" s="152" t="s">
        <v>47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48</v>
      </c>
      <c r="J4" s="4" t="s">
        <v>29</v>
      </c>
      <c r="K4" s="4" t="s">
        <v>35</v>
      </c>
      <c r="L4" s="154" t="s">
        <v>49</v>
      </c>
    </row>
    <row r="5" spans="1:12" ht="16.5">
      <c r="A5" s="155" t="s">
        <v>15</v>
      </c>
      <c r="B5" s="99">
        <f>+INT!P12+INT!Q12</f>
        <v>6311773</v>
      </c>
      <c r="C5" s="99">
        <f>SUM(E5:K5)</f>
        <v>5061161.859999999</v>
      </c>
      <c r="D5" s="100">
        <f>+C5/B5</f>
        <v>0.8018605643770774</v>
      </c>
      <c r="E5" s="99">
        <f>+INT!C12</f>
        <v>1585455.56</v>
      </c>
      <c r="F5" s="99">
        <f>+INT!E$12</f>
        <v>31955.239999999998</v>
      </c>
      <c r="G5" s="99">
        <f>+INT!G$12</f>
        <v>1086837.0099999998</v>
      </c>
      <c r="H5" s="99">
        <f>+INT!I$12</f>
        <v>1829136.25</v>
      </c>
      <c r="I5" s="99">
        <f>+INT!K$12</f>
        <v>242452.96</v>
      </c>
      <c r="J5" s="99">
        <f>+INT!M12</f>
        <v>80330.62</v>
      </c>
      <c r="K5" s="99">
        <f>+INT!O$12</f>
        <v>204994.21999999997</v>
      </c>
      <c r="L5" s="101">
        <f>+B5-C5</f>
        <v>1250611.1400000006</v>
      </c>
    </row>
    <row r="6" spans="1:12" ht="16.5">
      <c r="A6" s="155" t="s">
        <v>16</v>
      </c>
      <c r="B6" s="99">
        <f>+GOB!P17+GOB!Q17</f>
        <v>9419863</v>
      </c>
      <c r="C6" s="99">
        <f>SUM(E6:K6)</f>
        <v>7803209.96</v>
      </c>
      <c r="D6" s="100">
        <f>+C6/B6</f>
        <v>0.8283782853317506</v>
      </c>
      <c r="E6" s="99">
        <f>+GOB!C17</f>
        <v>3990188.9600000004</v>
      </c>
      <c r="F6" s="99">
        <f>+GOB!E17</f>
        <v>108820.76</v>
      </c>
      <c r="G6" s="99">
        <f>+GOB!G17</f>
        <v>2187517.4599999995</v>
      </c>
      <c r="H6" s="99">
        <f>+GOB!I17</f>
        <v>843561.25</v>
      </c>
      <c r="I6" s="99">
        <f>+GOB!K17</f>
        <v>148935.19</v>
      </c>
      <c r="J6" s="99">
        <f>+GOB!M17</f>
        <v>221999.3</v>
      </c>
      <c r="K6" s="99">
        <f>+GOB!O17</f>
        <v>302187.04000000004</v>
      </c>
      <c r="L6" s="101">
        <f>+B6-C6</f>
        <v>1616653.04</v>
      </c>
    </row>
    <row r="7" spans="1:12" ht="16.5">
      <c r="A7" s="155" t="s">
        <v>17</v>
      </c>
      <c r="B7" s="99">
        <f>+SEH!P14+SEH!Q14</f>
        <v>7048092.000000001</v>
      </c>
      <c r="C7" s="99">
        <f>SUM(E7:K7)</f>
        <v>6614587.47</v>
      </c>
      <c r="D7" s="100">
        <f>+C7/B7</f>
        <v>0.9384933496895328</v>
      </c>
      <c r="E7" s="99">
        <f>+SEH!C14</f>
        <v>3746533.55</v>
      </c>
      <c r="F7" s="99">
        <f>+SEH!E14</f>
        <v>738184.3299999998</v>
      </c>
      <c r="G7" s="99">
        <f>+SEH!G14</f>
        <v>1610754.3100000003</v>
      </c>
      <c r="H7" s="99">
        <f>+SEH!I14</f>
        <v>714.56</v>
      </c>
      <c r="I7" s="99">
        <f>+SEH!K14</f>
        <v>162813.30000000002</v>
      </c>
      <c r="J7" s="99">
        <f>+SEH!M14</f>
        <v>1857.55</v>
      </c>
      <c r="K7" s="99">
        <f>+SEH!O14</f>
        <v>353729.87000000005</v>
      </c>
      <c r="L7" s="101">
        <f>+B7-C7</f>
        <v>433504.5300000012</v>
      </c>
    </row>
    <row r="8" spans="1:12" ht="16.5">
      <c r="A8" s="155" t="s">
        <v>20</v>
      </c>
      <c r="B8" s="99">
        <f>+SAS!P13+SAS!Q13</f>
        <v>24510415</v>
      </c>
      <c r="C8" s="99">
        <f aca="true" t="shared" si="0" ref="C8:C15">SUM(E8:K8)</f>
        <v>18958423.51</v>
      </c>
      <c r="D8" s="100">
        <f aca="true" t="shared" si="1" ref="D8:D15">+C8/B8</f>
        <v>0.7734843946950716</v>
      </c>
      <c r="E8" s="99">
        <f>+SAS!C13</f>
        <v>7278566.66</v>
      </c>
      <c r="F8" s="99">
        <f>+SAS!E13</f>
        <v>162528.83</v>
      </c>
      <c r="G8" s="99">
        <f>+SAS!G13</f>
        <v>2681067.48</v>
      </c>
      <c r="H8" s="99">
        <f>+SAS!I13</f>
        <v>8095302.87</v>
      </c>
      <c r="I8" s="99">
        <f>+SAS!K13</f>
        <v>56773.939999999995</v>
      </c>
      <c r="J8" s="99">
        <f>+SAS!M13</f>
        <v>26087.44</v>
      </c>
      <c r="K8" s="99">
        <f>+SAS!O13</f>
        <v>658096.2899999999</v>
      </c>
      <c r="L8" s="101">
        <f aca="true" t="shared" si="2" ref="L8:L15">+B8-C8</f>
        <v>5551991.489999998</v>
      </c>
    </row>
    <row r="9" spans="1:12" ht="16.5">
      <c r="A9" s="155" t="s">
        <v>18</v>
      </c>
      <c r="B9" s="99">
        <f>+SOP!P12+SOP!Q12</f>
        <v>27008670</v>
      </c>
      <c r="C9" s="99">
        <f t="shared" si="0"/>
        <v>25412869.820000004</v>
      </c>
      <c r="D9" s="100">
        <f t="shared" si="1"/>
        <v>0.9409152623953717</v>
      </c>
      <c r="E9" s="99">
        <f>+SOP!C12</f>
        <v>3189622.84</v>
      </c>
      <c r="F9" s="99">
        <f>+SOP!E12</f>
        <v>408694.63</v>
      </c>
      <c r="G9" s="99">
        <f>+SOP!G12</f>
        <v>1265741.44</v>
      </c>
      <c r="H9" s="99">
        <f>+SOP!I12</f>
        <v>40786</v>
      </c>
      <c r="I9" s="99">
        <f>+SOP!K12</f>
        <v>200012.01</v>
      </c>
      <c r="J9" s="99">
        <f>+SOP!M12</f>
        <v>19870073.990000002</v>
      </c>
      <c r="K9" s="99">
        <f>+SOP!O12</f>
        <v>437938.91</v>
      </c>
      <c r="L9" s="101">
        <f t="shared" si="2"/>
        <v>1595800.179999996</v>
      </c>
    </row>
    <row r="10" spans="1:12" ht="16.5">
      <c r="A10" s="155" t="s">
        <v>85</v>
      </c>
      <c r="B10" s="99">
        <f>+SFOI!P13+SFOI!Q13</f>
        <v>14444178</v>
      </c>
      <c r="C10" s="99">
        <f t="shared" si="0"/>
        <v>12524591.839999998</v>
      </c>
      <c r="D10" s="100">
        <f t="shared" si="1"/>
        <v>0.867103122102206</v>
      </c>
      <c r="E10" s="99">
        <f>+SFOI!C13</f>
        <v>8708646.739999998</v>
      </c>
      <c r="F10" s="99">
        <f>+SFOI!E13</f>
        <v>397997.29</v>
      </c>
      <c r="G10" s="99">
        <f>+SFOI!G13</f>
        <v>2583777.2800000003</v>
      </c>
      <c r="H10" s="99">
        <f>+SFOI!I13</f>
        <v>0</v>
      </c>
      <c r="I10" s="99">
        <f>+SFOI!K13</f>
        <v>70448.26000000001</v>
      </c>
      <c r="J10" s="99">
        <f>+SFOI!M13</f>
        <v>22199.18</v>
      </c>
      <c r="K10" s="99">
        <f>+SFOI!O13</f>
        <v>741523.09</v>
      </c>
      <c r="L10" s="101">
        <f t="shared" si="2"/>
        <v>1919586.160000002</v>
      </c>
    </row>
    <row r="11" spans="1:12" ht="16.5">
      <c r="A11" s="155" t="s">
        <v>21</v>
      </c>
      <c r="B11" s="99">
        <f>+'CD'!P12+'CD'!Q12</f>
        <v>1601225</v>
      </c>
      <c r="C11" s="99">
        <f t="shared" si="0"/>
        <v>1210378.59</v>
      </c>
      <c r="D11" s="100">
        <f t="shared" si="1"/>
        <v>0.7559078767818389</v>
      </c>
      <c r="E11" s="99">
        <f>+'CD'!C12</f>
        <v>843874.48</v>
      </c>
      <c r="F11" s="99">
        <f>+'CD'!E12</f>
        <v>23761.140000000003</v>
      </c>
      <c r="G11" s="99">
        <f>+'CD'!G12</f>
        <v>69182.92</v>
      </c>
      <c r="H11" s="99">
        <f>+'CD'!I12</f>
        <v>210903.23</v>
      </c>
      <c r="I11" s="99">
        <f>+'CD'!K12</f>
        <v>7853.969999999999</v>
      </c>
      <c r="J11" s="99">
        <f>+'CD'!M12</f>
        <v>0</v>
      </c>
      <c r="K11" s="99">
        <f>+'CD'!O12</f>
        <v>54802.850000000006</v>
      </c>
      <c r="L11" s="101">
        <f t="shared" si="2"/>
        <v>390846.4099999999</v>
      </c>
    </row>
    <row r="12" spans="1:12" ht="16.5">
      <c r="A12" s="155" t="s">
        <v>22</v>
      </c>
      <c r="B12" s="99">
        <f>+'CM'!N12+'CM'!O12</f>
        <v>464823</v>
      </c>
      <c r="C12" s="99">
        <f t="shared" si="0"/>
        <v>350549.53</v>
      </c>
      <c r="D12" s="100">
        <f t="shared" si="1"/>
        <v>0.7541570232109858</v>
      </c>
      <c r="E12" s="99">
        <f>+'CM'!C12</f>
        <v>274082.2</v>
      </c>
      <c r="F12" s="99">
        <f>+'CM'!E12</f>
        <v>101.2</v>
      </c>
      <c r="G12" s="99">
        <f>+'CM'!G12</f>
        <v>48710.88</v>
      </c>
      <c r="H12" s="99">
        <f>+'CM'!I12</f>
        <v>0</v>
      </c>
      <c r="I12" s="99">
        <f>+'CM'!K12</f>
        <v>8271.81</v>
      </c>
      <c r="J12" s="99">
        <v>0</v>
      </c>
      <c r="K12" s="99">
        <f>+'CM'!M12</f>
        <v>19383.44</v>
      </c>
      <c r="L12" s="101">
        <f t="shared" si="2"/>
        <v>114273.46999999997</v>
      </c>
    </row>
    <row r="13" spans="1:12" ht="16.5">
      <c r="A13" s="155" t="s">
        <v>19</v>
      </c>
      <c r="B13" s="99">
        <f>+SSP!P13+SSP!Q13</f>
        <v>32773042.000000004</v>
      </c>
      <c r="C13" s="99">
        <f t="shared" si="0"/>
        <v>26166016.85</v>
      </c>
      <c r="D13" s="100">
        <f t="shared" si="1"/>
        <v>0.7984006138337723</v>
      </c>
      <c r="E13" s="99">
        <f>+SSP!C13</f>
        <v>14905752.85</v>
      </c>
      <c r="F13" s="99">
        <f>+SSP!E13</f>
        <v>3989430.72</v>
      </c>
      <c r="G13" s="99">
        <f>+SSP!G13</f>
        <v>4610773.62</v>
      </c>
      <c r="H13" s="99">
        <f>+SSP!I13</f>
        <v>133640.63999999998</v>
      </c>
      <c r="I13" s="99">
        <f>+SSP!K13</f>
        <v>218642.31</v>
      </c>
      <c r="J13" s="99">
        <f>+SSP!M13</f>
        <v>1231291.85</v>
      </c>
      <c r="K13" s="99">
        <f>+SSP!O13</f>
        <v>1076484.86</v>
      </c>
      <c r="L13" s="101">
        <f t="shared" si="2"/>
        <v>6607025.150000002</v>
      </c>
    </row>
    <row r="14" spans="1:12" ht="16.5">
      <c r="A14" s="155" t="s">
        <v>126</v>
      </c>
      <c r="B14" s="99">
        <f>+CULTURA!P16+CULTURA!Q16</f>
        <v>3596536</v>
      </c>
      <c r="C14" s="99">
        <f t="shared" si="0"/>
        <v>3319482.42</v>
      </c>
      <c r="D14" s="100">
        <f t="shared" si="1"/>
        <v>0.9229665489237422</v>
      </c>
      <c r="E14" s="99">
        <f>+CULTURA!C16</f>
        <v>1444972.87</v>
      </c>
      <c r="F14" s="99">
        <f>+CULTURA!E16</f>
        <v>30374.989999999998</v>
      </c>
      <c r="G14" s="99">
        <f>+CULTURA!G16</f>
        <v>1322549.43</v>
      </c>
      <c r="H14" s="99">
        <f>+CULTURA!I16</f>
        <v>360493.68</v>
      </c>
      <c r="I14" s="99">
        <f>+CULTURA!K16</f>
        <v>3034.44</v>
      </c>
      <c r="J14" s="99">
        <f>+CULTURA!M16</f>
        <v>34051.92</v>
      </c>
      <c r="K14" s="99">
        <f>+CULTURA!O16</f>
        <v>124005.09</v>
      </c>
      <c r="L14" s="101">
        <f t="shared" si="2"/>
        <v>277053.5800000001</v>
      </c>
    </row>
    <row r="15" spans="1:12" ht="16.5">
      <c r="A15" s="155" t="s">
        <v>127</v>
      </c>
      <c r="B15" s="99">
        <f>+DEPORTES!P12+DEPORTES!Q12</f>
        <v>4890083</v>
      </c>
      <c r="C15" s="99">
        <f t="shared" si="0"/>
        <v>4089721.52</v>
      </c>
      <c r="D15" s="100">
        <f t="shared" si="1"/>
        <v>0.8363296737499138</v>
      </c>
      <c r="E15" s="99">
        <f>+DEPORTES!C12</f>
        <v>1298516.52</v>
      </c>
      <c r="F15" s="99">
        <f>+DEPORTES!E12</f>
        <v>47217.42</v>
      </c>
      <c r="G15" s="99">
        <f>+DEPORTES!G12</f>
        <v>1356428.0699999998</v>
      </c>
      <c r="H15" s="99">
        <f>+DEPORTES!I12</f>
        <v>1105855.4400000002</v>
      </c>
      <c r="I15" s="99">
        <f>+DEPORTES!K12</f>
        <v>95951.82</v>
      </c>
      <c r="J15" s="99">
        <f>+DEPORTES!M12</f>
        <v>19695.48</v>
      </c>
      <c r="K15" s="99">
        <f>+DEPORTES!O12</f>
        <v>166056.77</v>
      </c>
      <c r="L15" s="101">
        <f t="shared" si="2"/>
        <v>800361.48</v>
      </c>
    </row>
    <row r="16" spans="1:12" ht="17.25">
      <c r="A16" s="16" t="s">
        <v>11</v>
      </c>
      <c r="B16" s="11">
        <f>SUM(B5:B15)</f>
        <v>132068700</v>
      </c>
      <c r="C16" s="11">
        <f>SUM(C5:C15)</f>
        <v>111510993.37</v>
      </c>
      <c r="D16" s="12">
        <f>+C16/B16</f>
        <v>0.8443408117896216</v>
      </c>
      <c r="E16" s="11">
        <f aca="true" t="shared" si="3" ref="E16:L16">SUM(E5:E15)</f>
        <v>47266213.23</v>
      </c>
      <c r="F16" s="11">
        <f t="shared" si="3"/>
        <v>5939066.55</v>
      </c>
      <c r="G16" s="11">
        <f t="shared" si="3"/>
        <v>18823339.900000002</v>
      </c>
      <c r="H16" s="11">
        <f t="shared" si="3"/>
        <v>12620393.92</v>
      </c>
      <c r="I16" s="11">
        <f t="shared" si="3"/>
        <v>1215190.01</v>
      </c>
      <c r="J16" s="11">
        <f t="shared" si="3"/>
        <v>21507587.330000006</v>
      </c>
      <c r="K16" s="11">
        <f t="shared" si="3"/>
        <v>4139202.43</v>
      </c>
      <c r="L16" s="19">
        <f t="shared" si="3"/>
        <v>20557706.63</v>
      </c>
    </row>
    <row r="17" spans="1:12" ht="18" thickBot="1">
      <c r="A17" s="15" t="s">
        <v>50</v>
      </c>
      <c r="B17" s="6"/>
      <c r="C17" s="7"/>
      <c r="D17" s="8"/>
      <c r="E17" s="13">
        <f>+E16/(53000000+8800000)</f>
        <v>0.7648254567961165</v>
      </c>
      <c r="F17" s="14">
        <f>+F16/(5358488+1200000)</f>
        <v>0.9055542298773741</v>
      </c>
      <c r="G17" s="14">
        <f>+G16/(18257225+1850000)</f>
        <v>0.9361480711535283</v>
      </c>
      <c r="H17" s="14">
        <f>+H16/(10880908+3650000)</f>
        <v>0.8685206678068569</v>
      </c>
      <c r="I17" s="14">
        <f>+I16/(2235720+150000)</f>
        <v>0.5093598620123065</v>
      </c>
      <c r="J17" s="14">
        <f>+J16/(18001959+4350000)</f>
        <v>0.9622238180555004</v>
      </c>
      <c r="K17" s="14">
        <f>+K16/4334400</f>
        <v>0.954965492340347</v>
      </c>
      <c r="L17" s="9"/>
    </row>
    <row r="18" spans="2:12" ht="17.25" thickTop="1">
      <c r="B18" s="5"/>
      <c r="C18" s="50"/>
      <c r="D18" s="5"/>
      <c r="L18" s="5"/>
    </row>
    <row r="19" spans="8:11" ht="16.5">
      <c r="H19" s="5"/>
      <c r="I19" s="5"/>
      <c r="J19" s="5"/>
      <c r="K19" s="126" t="s">
        <v>51</v>
      </c>
    </row>
    <row r="20" ht="16.5">
      <c r="K20" s="126"/>
    </row>
    <row r="21" ht="16.5">
      <c r="K21" s="127" t="s">
        <v>52</v>
      </c>
    </row>
    <row r="22" ht="16.5">
      <c r="K22" s="126"/>
    </row>
    <row r="23" ht="16.5">
      <c r="K23" s="149" t="s">
        <v>53</v>
      </c>
    </row>
    <row r="24" ht="16.5">
      <c r="K24" s="126"/>
    </row>
    <row r="25" ht="16.5">
      <c r="K25" s="128" t="s">
        <v>54</v>
      </c>
    </row>
    <row r="26" ht="16.5">
      <c r="K26" s="126"/>
    </row>
    <row r="27" ht="16.5">
      <c r="K27" s="133" t="s">
        <v>55</v>
      </c>
    </row>
    <row r="28" ht="16.5">
      <c r="K28" s="126"/>
    </row>
    <row r="29" ht="16.5">
      <c r="K29" s="129" t="s">
        <v>56</v>
      </c>
    </row>
    <row r="30" ht="16.5">
      <c r="K30" s="126"/>
    </row>
    <row r="31" ht="16.5">
      <c r="K31" s="130" t="s">
        <v>57</v>
      </c>
    </row>
    <row r="32" ht="16.5">
      <c r="K32" s="126"/>
    </row>
    <row r="33" ht="16.5">
      <c r="K33" s="131" t="s">
        <v>58</v>
      </c>
    </row>
    <row r="34" ht="16.5">
      <c r="K34" s="126"/>
    </row>
    <row r="35" ht="16.5">
      <c r="K35" s="132" t="s">
        <v>59</v>
      </c>
    </row>
    <row r="60" spans="5:13" ht="16.5">
      <c r="E60" s="1" t="s">
        <v>59</v>
      </c>
      <c r="F60" s="1" t="s">
        <v>58</v>
      </c>
      <c r="G60" s="1" t="s">
        <v>57</v>
      </c>
      <c r="H60" s="1" t="s">
        <v>60</v>
      </c>
      <c r="I60" s="1" t="s">
        <v>61</v>
      </c>
      <c r="J60" s="1" t="s">
        <v>62</v>
      </c>
      <c r="K60" s="1" t="s">
        <v>53</v>
      </c>
      <c r="L60" s="1" t="s">
        <v>63</v>
      </c>
      <c r="M60" s="1" t="s">
        <v>64</v>
      </c>
    </row>
    <row r="61" spans="1:13" ht="16.5">
      <c r="A61" s="1" t="s">
        <v>65</v>
      </c>
      <c r="E61" s="10">
        <f>+E5/B5</f>
        <v>0.25119020598491104</v>
      </c>
      <c r="F61" s="10">
        <f aca="true" t="shared" si="4" ref="F61:L61">+F5/$B$5</f>
        <v>0.005062799311698947</v>
      </c>
      <c r="G61" s="10">
        <f t="shared" si="4"/>
        <v>0.1721920306703045</v>
      </c>
      <c r="H61" s="10">
        <f t="shared" si="4"/>
        <v>0.289797533910044</v>
      </c>
      <c r="I61" s="10">
        <f t="shared" si="4"/>
        <v>0.03841281364206222</v>
      </c>
      <c r="J61" s="10">
        <f t="shared" si="4"/>
        <v>0.012727108531944985</v>
      </c>
      <c r="K61" s="10">
        <f t="shared" si="4"/>
        <v>0.03247807232611185</v>
      </c>
      <c r="L61" s="10">
        <f t="shared" si="4"/>
        <v>0.19813943562292252</v>
      </c>
      <c r="M61" s="10">
        <f>SUM(E61:L61)</f>
        <v>1.0000000000000002</v>
      </c>
    </row>
    <row r="62" spans="1:13" ht="16.5">
      <c r="A62" s="1" t="s">
        <v>95</v>
      </c>
      <c r="E62" s="10">
        <f>+E6/B6</f>
        <v>0.4235930989654521</v>
      </c>
      <c r="F62" s="10">
        <f>+F6/B6</f>
        <v>0.011552265675201432</v>
      </c>
      <c r="G62" s="10">
        <f>+G6/B6</f>
        <v>0.23222391450916</v>
      </c>
      <c r="H62" s="10">
        <f>+H6/B6</f>
        <v>0.08955132893121694</v>
      </c>
      <c r="I62" s="10">
        <f>+I6/B6</f>
        <v>0.01581075966816078</v>
      </c>
      <c r="J62" s="10">
        <f>+J6/B6</f>
        <v>0.023567147420296877</v>
      </c>
      <c r="K62" s="10">
        <f>+K6/B6</f>
        <v>0.03207977016226245</v>
      </c>
      <c r="L62" s="10">
        <f>+L6/B6</f>
        <v>0.17162171466824944</v>
      </c>
      <c r="M62" s="10">
        <f>SUM(E62:L62)</f>
        <v>1.0000000000000002</v>
      </c>
    </row>
    <row r="63" spans="1:13" ht="16.5">
      <c r="A63" s="1" t="s">
        <v>96</v>
      </c>
      <c r="E63" s="10">
        <f>+E7/B7</f>
        <v>0.5315670609861505</v>
      </c>
      <c r="F63" s="10">
        <f>+F7/B7</f>
        <v>0.1047353425579575</v>
      </c>
      <c r="G63" s="10">
        <f>+G7/B7</f>
        <v>0.2285376396902878</v>
      </c>
      <c r="H63" s="10">
        <f>+H7/B7</f>
        <v>0.0001013834666176321</v>
      </c>
      <c r="I63" s="10">
        <f>+I7/B7</f>
        <v>0.023100336942253306</v>
      </c>
      <c r="J63" s="10">
        <f>+J7/B7</f>
        <v>0.00026355359720049053</v>
      </c>
      <c r="K63" s="10">
        <f>+K7/B7</f>
        <v>0.050188032449065646</v>
      </c>
      <c r="L63" s="10">
        <f>+L7/B7</f>
        <v>0.06150665031046716</v>
      </c>
      <c r="M63" s="10">
        <f>SUM(E63:L63)</f>
        <v>1</v>
      </c>
    </row>
    <row r="64" spans="1:13" ht="16.5">
      <c r="A64" s="1" t="s">
        <v>66</v>
      </c>
      <c r="E64" s="10">
        <f aca="true" t="shared" si="5" ref="E64:L64">+E8/$B$8</f>
        <v>0.29695811596825267</v>
      </c>
      <c r="F64" s="10">
        <f t="shared" si="5"/>
        <v>0.006631010939635252</v>
      </c>
      <c r="G64" s="10">
        <f t="shared" si="5"/>
        <v>0.10938482600151812</v>
      </c>
      <c r="H64" s="10">
        <f t="shared" si="5"/>
        <v>0.3302801225519845</v>
      </c>
      <c r="I64" s="10">
        <f t="shared" si="5"/>
        <v>0.0023163190015346533</v>
      </c>
      <c r="J64" s="10">
        <f t="shared" si="5"/>
        <v>0.0010643410158497927</v>
      </c>
      <c r="K64" s="10">
        <f t="shared" si="5"/>
        <v>0.026849659216296416</v>
      </c>
      <c r="L64" s="10">
        <f t="shared" si="5"/>
        <v>0.22651560530492848</v>
      </c>
      <c r="M64" s="10">
        <f aca="true" t="shared" si="6" ref="M64:M71">SUM(E64:L64)</f>
        <v>1</v>
      </c>
    </row>
    <row r="65" spans="1:13" ht="16.5">
      <c r="A65" s="1" t="s">
        <v>67</v>
      </c>
      <c r="E65" s="10">
        <f>+E9/$B$9</f>
        <v>0.11809625723887922</v>
      </c>
      <c r="F65" s="10">
        <f aca="true" t="shared" si="7" ref="F65:L65">+F9/$B$9</f>
        <v>0.015131979101525547</v>
      </c>
      <c r="G65" s="10">
        <f t="shared" si="7"/>
        <v>0.046864263956722045</v>
      </c>
      <c r="H65" s="10">
        <f t="shared" si="7"/>
        <v>0.001510107680237494</v>
      </c>
      <c r="I65" s="10">
        <f t="shared" si="7"/>
        <v>0.007405474242160018</v>
      </c>
      <c r="J65" s="10">
        <f t="shared" si="7"/>
        <v>0.7356924272835353</v>
      </c>
      <c r="K65" s="10">
        <f t="shared" si="7"/>
        <v>0.016214752892311987</v>
      </c>
      <c r="L65" s="10">
        <f t="shared" si="7"/>
        <v>0.05908473760462829</v>
      </c>
      <c r="M65" s="10">
        <f t="shared" si="6"/>
        <v>0.9999999999999999</v>
      </c>
    </row>
    <row r="66" spans="1:13" ht="16.5">
      <c r="A66" s="1" t="s">
        <v>70</v>
      </c>
      <c r="E66" s="10">
        <f>+E10/$B$10</f>
        <v>0.6029174342769799</v>
      </c>
      <c r="F66" s="10">
        <f aca="true" t="shared" si="8" ref="F66:L66">+F10/$B$10</f>
        <v>0.027554166806861558</v>
      </c>
      <c r="G66" s="10">
        <f t="shared" si="8"/>
        <v>0.17888018826685742</v>
      </c>
      <c r="H66" s="10">
        <f t="shared" si="8"/>
        <v>0</v>
      </c>
      <c r="I66" s="10">
        <f t="shared" si="8"/>
        <v>0.0048772771977747716</v>
      </c>
      <c r="J66" s="10">
        <f t="shared" si="8"/>
        <v>0.001536894657487605</v>
      </c>
      <c r="K66" s="10">
        <f t="shared" si="8"/>
        <v>0.051337160896244835</v>
      </c>
      <c r="L66" s="10">
        <f t="shared" si="8"/>
        <v>0.13289687789779397</v>
      </c>
      <c r="M66" s="10">
        <f t="shared" si="6"/>
        <v>1</v>
      </c>
    </row>
    <row r="67" spans="1:13" ht="16.5">
      <c r="A67" s="1" t="s">
        <v>68</v>
      </c>
      <c r="E67" s="10">
        <f>+E11/$B$11</f>
        <v>0.5270180518040875</v>
      </c>
      <c r="F67" s="10">
        <f aca="true" t="shared" si="9" ref="F67:L67">+F11/$B$11</f>
        <v>0.014839351121797377</v>
      </c>
      <c r="G67" s="10">
        <f t="shared" si="9"/>
        <v>0.04320624521850458</v>
      </c>
      <c r="H67" s="10">
        <f t="shared" si="9"/>
        <v>0.1317136754672204</v>
      </c>
      <c r="I67" s="10">
        <f t="shared" si="9"/>
        <v>0.004904975877843526</v>
      </c>
      <c r="J67" s="10">
        <f t="shared" si="9"/>
        <v>0</v>
      </c>
      <c r="K67" s="10">
        <f t="shared" si="9"/>
        <v>0.03422557729238552</v>
      </c>
      <c r="L67" s="10">
        <f t="shared" si="9"/>
        <v>0.24409212321816104</v>
      </c>
      <c r="M67" s="10">
        <f t="shared" si="6"/>
        <v>0.9999999999999998</v>
      </c>
    </row>
    <row r="68" spans="1:13" ht="16.5">
      <c r="A68" s="1" t="s">
        <v>99</v>
      </c>
      <c r="E68" s="10">
        <f>+E12/$B$12</f>
        <v>0.589648532882409</v>
      </c>
      <c r="F68" s="10">
        <f aca="true" t="shared" si="10" ref="F68:L68">+F12/$B$12</f>
        <v>0.00021771728163193303</v>
      </c>
      <c r="G68" s="10">
        <f t="shared" si="10"/>
        <v>0.10479447015315507</v>
      </c>
      <c r="H68" s="10">
        <f t="shared" si="10"/>
        <v>0</v>
      </c>
      <c r="I68" s="10">
        <f t="shared" si="10"/>
        <v>0.017795612523476678</v>
      </c>
      <c r="J68" s="10">
        <f t="shared" si="10"/>
        <v>0</v>
      </c>
      <c r="K68" s="10">
        <f t="shared" si="10"/>
        <v>0.041700690370313</v>
      </c>
      <c r="L68" s="10">
        <f t="shared" si="10"/>
        <v>0.24584297678901426</v>
      </c>
      <c r="M68" s="10">
        <f t="shared" si="6"/>
        <v>0.9999999999999999</v>
      </c>
    </row>
    <row r="69" spans="1:13" ht="16.5">
      <c r="A69" s="1" t="s">
        <v>71</v>
      </c>
      <c r="E69" s="10">
        <f>+E13/$B$13</f>
        <v>0.4548174945127156</v>
      </c>
      <c r="F69" s="10">
        <f aca="true" t="shared" si="11" ref="F69:L69">+F13/$B$13</f>
        <v>0.12172903327069852</v>
      </c>
      <c r="G69" s="10">
        <f t="shared" si="11"/>
        <v>0.14068799655521755</v>
      </c>
      <c r="H69" s="10">
        <f t="shared" si="11"/>
        <v>0.004077761228268037</v>
      </c>
      <c r="I69" s="10">
        <f t="shared" si="11"/>
        <v>0.006671407249897644</v>
      </c>
      <c r="J69" s="10">
        <f t="shared" si="11"/>
        <v>0.037570264304424346</v>
      </c>
      <c r="K69" s="10">
        <f t="shared" si="11"/>
        <v>0.032846656712550514</v>
      </c>
      <c r="L69" s="10">
        <f t="shared" si="11"/>
        <v>0.20159938616622777</v>
      </c>
      <c r="M69" s="10">
        <f t="shared" si="6"/>
        <v>1</v>
      </c>
    </row>
    <row r="70" spans="1:13" ht="16.5">
      <c r="A70" s="1" t="s">
        <v>72</v>
      </c>
      <c r="E70" s="10">
        <f>+E14/$B$14</f>
        <v>0.40176794282053624</v>
      </c>
      <c r="F70" s="10">
        <f aca="true" t="shared" si="12" ref="F70:L70">+F14/$B$14</f>
        <v>0.008445623789112634</v>
      </c>
      <c r="G70" s="10">
        <f t="shared" si="12"/>
        <v>0.3677286783727453</v>
      </c>
      <c r="H70" s="10">
        <f t="shared" si="12"/>
        <v>0.10023358031172216</v>
      </c>
      <c r="I70" s="10">
        <f t="shared" si="12"/>
        <v>0.0008437118382799449</v>
      </c>
      <c r="J70" s="10">
        <f t="shared" si="12"/>
        <v>0.009467976964501398</v>
      </c>
      <c r="K70" s="10">
        <f t="shared" si="12"/>
        <v>0.034479034826844494</v>
      </c>
      <c r="L70" s="10">
        <f t="shared" si="12"/>
        <v>0.07703345107625784</v>
      </c>
      <c r="M70" s="10">
        <f t="shared" si="6"/>
        <v>0.9999999999999999</v>
      </c>
    </row>
    <row r="71" spans="1:13" ht="16.5">
      <c r="A71" s="1" t="s">
        <v>69</v>
      </c>
      <c r="E71" s="10">
        <f>+E15/$B$15</f>
        <v>0.2655407934793745</v>
      </c>
      <c r="F71" s="10">
        <f aca="true" t="shared" si="13" ref="F71:L71">+F15/$B$15</f>
        <v>0.009655750219372554</v>
      </c>
      <c r="G71" s="10">
        <f t="shared" si="13"/>
        <v>0.2773834452298662</v>
      </c>
      <c r="H71" s="10">
        <f t="shared" si="13"/>
        <v>0.226142468338472</v>
      </c>
      <c r="I71" s="10">
        <f t="shared" si="13"/>
        <v>0.019621716032222767</v>
      </c>
      <c r="J71" s="10">
        <f t="shared" si="13"/>
        <v>0.0040276371587148925</v>
      </c>
      <c r="K71" s="10">
        <f t="shared" si="13"/>
        <v>0.033957863291890954</v>
      </c>
      <c r="L71" s="10">
        <f t="shared" si="13"/>
        <v>0.16367032625008615</v>
      </c>
      <c r="M71" s="10">
        <f t="shared" si="6"/>
        <v>1</v>
      </c>
    </row>
  </sheetData>
  <mergeCells count="1">
    <mergeCell ref="E3:K3"/>
  </mergeCells>
  <printOptions horizontalCentered="1"/>
  <pageMargins left="0.84" right="0.23" top="0.75" bottom="0.25" header="0.39" footer="0"/>
  <pageSetup horizontalDpi="600" verticalDpi="600" orientation="landscape" paperSize="5" r:id="rId2"/>
  <headerFooter alignWithMargins="0">
    <oddHeader>&amp;C&amp;"Palatino Linotype,Negrita"&amp;8CONTADURIA MUNICIPAL&amp;"Garamond,Normal"&amp;11
&amp;"Haettenschweiler,Normal"&amp;9Presupuesto vs. Ejecución Presupuestaria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C1">
      <selection activeCell="D16" sqref="D16"/>
    </sheetView>
  </sheetViews>
  <sheetFormatPr defaultColWidth="11.421875" defaultRowHeight="15"/>
  <cols>
    <col min="1" max="1" width="20.57421875" style="1" customWidth="1"/>
    <col min="2" max="2" width="14.00390625" style="1" customWidth="1"/>
    <col min="3" max="3" width="13.8515625" style="1" customWidth="1"/>
    <col min="4" max="4" width="13.421875" style="1" customWidth="1"/>
    <col min="5" max="5" width="7.7109375" style="1" customWidth="1"/>
    <col min="6" max="6" width="13.421875" style="1" customWidth="1"/>
    <col min="7" max="7" width="12.00390625" style="1" customWidth="1"/>
    <col min="8" max="10" width="12.7109375" style="1" customWidth="1"/>
    <col min="11" max="11" width="12.8515625" style="1" customWidth="1"/>
    <col min="12" max="12" width="12.140625" style="1" customWidth="1"/>
    <col min="13" max="13" width="13.57421875" style="1" customWidth="1"/>
    <col min="14" max="14" width="11.421875" style="1" customWidth="1"/>
    <col min="15" max="15" width="12.28125" style="1" bestFit="1" customWidth="1"/>
    <col min="16" max="16384" width="11.421875" style="1" customWidth="1"/>
  </cols>
  <sheetData>
    <row r="1" ht="16.5">
      <c r="A1" s="17" t="s">
        <v>41</v>
      </c>
    </row>
    <row r="2" spans="1:4" ht="18.75" thickBot="1">
      <c r="A2" s="18" t="s">
        <v>42</v>
      </c>
      <c r="C2" s="148">
        <v>40817</v>
      </c>
      <c r="D2" s="148"/>
    </row>
    <row r="3" spans="1:13" ht="18" thickTop="1">
      <c r="A3" s="2" t="s">
        <v>43</v>
      </c>
      <c r="B3" s="151" t="s">
        <v>139</v>
      </c>
      <c r="C3" s="151" t="s">
        <v>25</v>
      </c>
      <c r="D3" s="151" t="s">
        <v>137</v>
      </c>
      <c r="E3" s="151" t="s">
        <v>44</v>
      </c>
      <c r="F3" s="190" t="s">
        <v>138</v>
      </c>
      <c r="G3" s="191"/>
      <c r="H3" s="191"/>
      <c r="I3" s="191"/>
      <c r="J3" s="191"/>
      <c r="K3" s="191"/>
      <c r="L3" s="192"/>
      <c r="M3" s="153" t="s">
        <v>24</v>
      </c>
    </row>
    <row r="4" spans="1:13" ht="17.25">
      <c r="A4" s="3"/>
      <c r="B4" s="152" t="s">
        <v>140</v>
      </c>
      <c r="C4" s="152" t="s">
        <v>46</v>
      </c>
      <c r="D4" s="152" t="s">
        <v>46</v>
      </c>
      <c r="E4" s="152" t="s">
        <v>5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48</v>
      </c>
      <c r="K4" s="4" t="s">
        <v>29</v>
      </c>
      <c r="L4" s="4" t="s">
        <v>35</v>
      </c>
      <c r="M4" s="154" t="s">
        <v>49</v>
      </c>
    </row>
    <row r="5" spans="1:13" ht="16.5">
      <c r="A5" s="155" t="s">
        <v>15</v>
      </c>
      <c r="B5" s="99">
        <f>+INT!P12+INT!Q12</f>
        <v>6311773</v>
      </c>
      <c r="C5" s="99">
        <f>SUM(F5:L5)-D5</f>
        <v>5061161.859999999</v>
      </c>
      <c r="D5" s="99">
        <v>1152690.37</v>
      </c>
      <c r="E5" s="100">
        <f>(C5+D5)/B5</f>
        <v>0.9844860120920064</v>
      </c>
      <c r="F5" s="99">
        <f>+INT!C12</f>
        <v>1585455.56</v>
      </c>
      <c r="G5" s="99">
        <f>+INT!E$12</f>
        <v>31955.239999999998</v>
      </c>
      <c r="H5" s="99">
        <f>+INT!G$12+104986.82</f>
        <v>1191823.8299999998</v>
      </c>
      <c r="I5" s="99">
        <f>+INT!I$12+89771.56</f>
        <v>1918907.81</v>
      </c>
      <c r="J5" s="99">
        <f>+INT!K$12+957931.99</f>
        <v>1200384.95</v>
      </c>
      <c r="K5" s="99">
        <f>+INT!M12</f>
        <v>80330.62</v>
      </c>
      <c r="L5" s="99">
        <f>+INT!O$12</f>
        <v>204994.21999999997</v>
      </c>
      <c r="M5" s="101">
        <f>+B5-C5-D5</f>
        <v>97920.77000000048</v>
      </c>
    </row>
    <row r="6" spans="1:13" ht="16.5">
      <c r="A6" s="155" t="s">
        <v>16</v>
      </c>
      <c r="B6" s="99">
        <f>+GOB!P17+GOB!Q17</f>
        <v>9419863</v>
      </c>
      <c r="C6" s="99">
        <f aca="true" t="shared" si="0" ref="C6:C15">SUM(F6:L6)-D6</f>
        <v>7803209.959999999</v>
      </c>
      <c r="D6" s="99">
        <v>183378.36</v>
      </c>
      <c r="E6" s="100">
        <f aca="true" t="shared" si="1" ref="E6:E15">(C6+D6)/B6</f>
        <v>0.8478454856509059</v>
      </c>
      <c r="F6" s="99">
        <f>+GOB!C17</f>
        <v>3990188.9600000004</v>
      </c>
      <c r="G6" s="99">
        <f>+GOB!E17+6372.12</f>
        <v>115192.87999999999</v>
      </c>
      <c r="H6" s="99">
        <f>+GOB!G17+70814</f>
        <v>2258331.4599999995</v>
      </c>
      <c r="I6" s="99">
        <f>+GOB!I17+89400.73</f>
        <v>932961.98</v>
      </c>
      <c r="J6" s="99">
        <f>+GOB!K17+890</f>
        <v>149825.19</v>
      </c>
      <c r="K6" s="99">
        <f>+GOB!M17+15901.51</f>
        <v>237900.81</v>
      </c>
      <c r="L6" s="99">
        <f>+GOB!O17</f>
        <v>302187.04000000004</v>
      </c>
      <c r="M6" s="101">
        <f aca="true" t="shared" si="2" ref="M6:M15">+B6-C6-D6</f>
        <v>1433274.680000001</v>
      </c>
    </row>
    <row r="7" spans="1:13" ht="16.5">
      <c r="A7" s="155" t="s">
        <v>17</v>
      </c>
      <c r="B7" s="99">
        <f>+SEH!P14+SEH!Q14</f>
        <v>7048092.000000001</v>
      </c>
      <c r="C7" s="99">
        <f t="shared" si="0"/>
        <v>6614587.469999999</v>
      </c>
      <c r="D7" s="99">
        <v>156516.67</v>
      </c>
      <c r="E7" s="100">
        <f t="shared" si="1"/>
        <v>0.9607003058416373</v>
      </c>
      <c r="F7" s="99">
        <f>+SEH!C14</f>
        <v>3746533.55</v>
      </c>
      <c r="G7" s="99">
        <f>+SEH!E14+123965.82</f>
        <v>862150.1499999999</v>
      </c>
      <c r="H7" s="99">
        <f>+SEH!G14+25785.85</f>
        <v>1636540.1600000004</v>
      </c>
      <c r="I7" s="99">
        <f>+SEH!I14</f>
        <v>714.56</v>
      </c>
      <c r="J7" s="99">
        <f>+SEH!K14+6765</f>
        <v>169578.30000000002</v>
      </c>
      <c r="K7" s="99">
        <f>+SEH!M14</f>
        <v>1857.55</v>
      </c>
      <c r="L7" s="99">
        <f>+SEH!O14</f>
        <v>353729.87000000005</v>
      </c>
      <c r="M7" s="101">
        <f t="shared" si="2"/>
        <v>276987.8600000021</v>
      </c>
    </row>
    <row r="8" spans="1:13" ht="16.5">
      <c r="A8" s="155" t="s">
        <v>20</v>
      </c>
      <c r="B8" s="99">
        <f>+SAS!P13+SAS!Q13</f>
        <v>24510415</v>
      </c>
      <c r="C8" s="99">
        <f t="shared" si="0"/>
        <v>18958423.509999998</v>
      </c>
      <c r="D8" s="99">
        <v>1643226.62</v>
      </c>
      <c r="E8" s="100">
        <f t="shared" si="1"/>
        <v>0.8405263693005606</v>
      </c>
      <c r="F8" s="99">
        <f>+SAS!C13</f>
        <v>7278566.66</v>
      </c>
      <c r="G8" s="99">
        <f>+SAS!E13+51375.55</f>
        <v>213904.38</v>
      </c>
      <c r="H8" s="99">
        <f>+SAS!G13+95875.14</f>
        <v>2776942.62</v>
      </c>
      <c r="I8" s="99">
        <f>+SAS!I13+1492156.15</f>
        <v>9587459.02</v>
      </c>
      <c r="J8" s="99">
        <f>+SAS!K13+3819.78</f>
        <v>60593.719999999994</v>
      </c>
      <c r="K8" s="99">
        <f>+SAS!M13</f>
        <v>26087.44</v>
      </c>
      <c r="L8" s="99">
        <f>+SAS!O13</f>
        <v>658096.2899999999</v>
      </c>
      <c r="M8" s="101">
        <f t="shared" si="2"/>
        <v>3908764.870000002</v>
      </c>
    </row>
    <row r="9" spans="1:13" ht="16.5">
      <c r="A9" s="155" t="s">
        <v>18</v>
      </c>
      <c r="B9" s="99">
        <f>+SOP!P12+SOP!Q12</f>
        <v>27008670</v>
      </c>
      <c r="C9" s="99">
        <f t="shared" si="0"/>
        <v>25412869.820000004</v>
      </c>
      <c r="D9" s="99">
        <v>687813.34</v>
      </c>
      <c r="E9" s="100">
        <f t="shared" si="1"/>
        <v>0.966381653002536</v>
      </c>
      <c r="F9" s="99">
        <f>+SOP!C12</f>
        <v>3189622.84</v>
      </c>
      <c r="G9" s="99">
        <f>+SOP!E12+7116.61</f>
        <v>415811.24</v>
      </c>
      <c r="H9" s="99">
        <f>+SOP!G12+94570.61</f>
        <v>1360312.05</v>
      </c>
      <c r="I9" s="99">
        <f>+SOP!I12</f>
        <v>40786</v>
      </c>
      <c r="J9" s="99">
        <f>+SOP!K12</f>
        <v>200012.01</v>
      </c>
      <c r="K9" s="99">
        <f>+SOP!M12+586126.12</f>
        <v>20456200.110000003</v>
      </c>
      <c r="L9" s="99">
        <f>+SOP!O12</f>
        <v>437938.91</v>
      </c>
      <c r="M9" s="101">
        <f t="shared" si="2"/>
        <v>907986.839999996</v>
      </c>
    </row>
    <row r="10" spans="1:13" ht="16.5">
      <c r="A10" s="155" t="s">
        <v>85</v>
      </c>
      <c r="B10" s="99">
        <f>+SFOI!P13+SFOI!Q13</f>
        <v>14444178</v>
      </c>
      <c r="C10" s="99">
        <f t="shared" si="0"/>
        <v>12524591.840000002</v>
      </c>
      <c r="D10" s="99">
        <v>12984569.22</v>
      </c>
      <c r="E10" s="100">
        <f t="shared" si="1"/>
        <v>1.7660514194715686</v>
      </c>
      <c r="F10" s="99">
        <f>+SFOI!C13+12794000</f>
        <v>21502646.74</v>
      </c>
      <c r="G10" s="99">
        <f>+SFOI!E13+63326.1</f>
        <v>461323.38999999996</v>
      </c>
      <c r="H10" s="99">
        <f>+SFOI!G13+119126.82</f>
        <v>2702904.1</v>
      </c>
      <c r="I10" s="99">
        <f>+SFOI!I13+1026.3</f>
        <v>1026.3</v>
      </c>
      <c r="J10" s="99">
        <f>+SFOI!K13+7090</f>
        <v>77538.26000000001</v>
      </c>
      <c r="K10" s="99">
        <f>+SFOI!M13</f>
        <v>22199.18</v>
      </c>
      <c r="L10" s="99">
        <f>+SFOI!O13</f>
        <v>741523.09</v>
      </c>
      <c r="M10" s="101">
        <f t="shared" si="2"/>
        <v>-11064983.060000002</v>
      </c>
    </row>
    <row r="11" spans="1:13" ht="16.5">
      <c r="A11" s="155" t="s">
        <v>21</v>
      </c>
      <c r="B11" s="99">
        <f>+'CD'!P12+'CD'!Q12</f>
        <v>1601225</v>
      </c>
      <c r="C11" s="99">
        <f t="shared" si="0"/>
        <v>1210378.59</v>
      </c>
      <c r="D11" s="99">
        <v>17304.82</v>
      </c>
      <c r="E11" s="100">
        <f t="shared" si="1"/>
        <v>0.7667151149900858</v>
      </c>
      <c r="F11" s="99">
        <f>+'CD'!C12</f>
        <v>843874.48</v>
      </c>
      <c r="G11" s="99">
        <f>+'CD'!E12+10722.5</f>
        <v>34483.64</v>
      </c>
      <c r="H11" s="99">
        <f>+'CD'!G12</f>
        <v>69182.92</v>
      </c>
      <c r="I11" s="99">
        <f>+'CD'!I12+6582.32</f>
        <v>217485.55000000002</v>
      </c>
      <c r="J11" s="99">
        <f>+'CD'!K12</f>
        <v>7853.969999999999</v>
      </c>
      <c r="K11" s="99">
        <f>+'CD'!M12</f>
        <v>0</v>
      </c>
      <c r="L11" s="99">
        <f>+'CD'!O12</f>
        <v>54802.850000000006</v>
      </c>
      <c r="M11" s="101">
        <f t="shared" si="2"/>
        <v>373541.5899999999</v>
      </c>
    </row>
    <row r="12" spans="1:13" ht="16.5">
      <c r="A12" s="155" t="s">
        <v>22</v>
      </c>
      <c r="B12" s="99">
        <f>+'CM'!N12+'CM'!O12</f>
        <v>464823</v>
      </c>
      <c r="C12" s="99">
        <f t="shared" si="0"/>
        <v>350549.53</v>
      </c>
      <c r="D12" s="99">
        <v>15600</v>
      </c>
      <c r="E12" s="100">
        <f t="shared" si="1"/>
        <v>0.787718185201679</v>
      </c>
      <c r="F12" s="99">
        <f>+'CM'!C12</f>
        <v>274082.2</v>
      </c>
      <c r="G12" s="99">
        <f>+'CM'!E12</f>
        <v>101.2</v>
      </c>
      <c r="H12" s="99">
        <f>+'CM'!G12+15600</f>
        <v>64310.88</v>
      </c>
      <c r="I12" s="99">
        <f>+'CM'!I12</f>
        <v>0</v>
      </c>
      <c r="J12" s="99">
        <f>+'CM'!K12</f>
        <v>8271.81</v>
      </c>
      <c r="K12" s="99">
        <v>0</v>
      </c>
      <c r="L12" s="99">
        <f>+'CM'!M12</f>
        <v>19383.44</v>
      </c>
      <c r="M12" s="101">
        <f t="shared" si="2"/>
        <v>98673.46999999997</v>
      </c>
    </row>
    <row r="13" spans="1:13" ht="16.5">
      <c r="A13" s="155" t="s">
        <v>19</v>
      </c>
      <c r="B13" s="99">
        <f>+SSP!P13+SSP!Q13</f>
        <v>32773042.000000004</v>
      </c>
      <c r="C13" s="99">
        <f t="shared" si="0"/>
        <v>26166016.85</v>
      </c>
      <c r="D13" s="99">
        <v>1057155.06</v>
      </c>
      <c r="E13" s="100">
        <f t="shared" si="1"/>
        <v>0.830657462618209</v>
      </c>
      <c r="F13" s="99">
        <f>+SSP!C13</f>
        <v>14905752.85</v>
      </c>
      <c r="G13" s="99">
        <f>+SSP!E13+279831.98</f>
        <v>4269262.7</v>
      </c>
      <c r="H13" s="99">
        <f>+SSP!G13+548861.15</f>
        <v>5159634.7700000005</v>
      </c>
      <c r="I13" s="99">
        <f>+SSP!I13+54178.5</f>
        <v>187819.13999999998</v>
      </c>
      <c r="J13" s="99">
        <f>+SSP!K13+13442.22</f>
        <v>232084.53</v>
      </c>
      <c r="K13" s="99">
        <f>+SSP!M13+160841.21</f>
        <v>1392133.06</v>
      </c>
      <c r="L13" s="99">
        <f>+SSP!O13</f>
        <v>1076484.86</v>
      </c>
      <c r="M13" s="101">
        <f t="shared" si="2"/>
        <v>5549870.090000002</v>
      </c>
    </row>
    <row r="14" spans="1:13" ht="16.5">
      <c r="A14" s="155" t="s">
        <v>126</v>
      </c>
      <c r="B14" s="99">
        <f>+CULTURA!P16+CULTURA!Q16</f>
        <v>3596536</v>
      </c>
      <c r="C14" s="99">
        <f t="shared" si="0"/>
        <v>3319482.4199999995</v>
      </c>
      <c r="D14" s="99">
        <v>90632.02</v>
      </c>
      <c r="E14" s="100">
        <f t="shared" si="1"/>
        <v>0.9481663578509987</v>
      </c>
      <c r="F14" s="99">
        <f>+CULTURA!C16</f>
        <v>1444972.87</v>
      </c>
      <c r="G14" s="99">
        <f>+CULTURA!E16</f>
        <v>30374.989999999998</v>
      </c>
      <c r="H14" s="99">
        <f>+CULTURA!G16+53413.9</f>
        <v>1375963.3299999998</v>
      </c>
      <c r="I14" s="99">
        <f>+CULTURA!I16+37218.12</f>
        <v>397711.8</v>
      </c>
      <c r="J14" s="99">
        <f>+CULTURA!K16</f>
        <v>3034.44</v>
      </c>
      <c r="K14" s="99">
        <f>+CULTURA!M16</f>
        <v>34051.92</v>
      </c>
      <c r="L14" s="99">
        <f>+CULTURA!O16</f>
        <v>124005.09</v>
      </c>
      <c r="M14" s="101">
        <f t="shared" si="2"/>
        <v>186421.56000000052</v>
      </c>
    </row>
    <row r="15" spans="1:13" ht="16.5">
      <c r="A15" s="155" t="s">
        <v>127</v>
      </c>
      <c r="B15" s="99">
        <f>+DEPORTES!P12+DEPORTES!Q12</f>
        <v>4890083</v>
      </c>
      <c r="C15" s="99">
        <f t="shared" si="0"/>
        <v>4089721.5200000005</v>
      </c>
      <c r="D15" s="99">
        <v>299179.51</v>
      </c>
      <c r="E15" s="100">
        <f t="shared" si="1"/>
        <v>0.8975105391871673</v>
      </c>
      <c r="F15" s="99">
        <f>+DEPORTES!C12</f>
        <v>1298516.52</v>
      </c>
      <c r="G15" s="99">
        <f>+DEPORTES!E12</f>
        <v>47217.42</v>
      </c>
      <c r="H15" s="99">
        <f>+DEPORTES!G12+138612.9</f>
        <v>1495040.9699999997</v>
      </c>
      <c r="I15" s="99">
        <f>+DEPORTES!I12+68066.61</f>
        <v>1173922.0500000003</v>
      </c>
      <c r="J15" s="99">
        <f>+DEPORTES!K12+92500</f>
        <v>188451.82</v>
      </c>
      <c r="K15" s="99">
        <f>+DEPORTES!M12</f>
        <v>19695.48</v>
      </c>
      <c r="L15" s="99">
        <f>+DEPORTES!O12</f>
        <v>166056.77</v>
      </c>
      <c r="M15" s="101">
        <f t="shared" si="2"/>
        <v>501181.9699999995</v>
      </c>
    </row>
    <row r="16" spans="1:13" ht="17.25">
      <c r="A16" s="16" t="s">
        <v>11</v>
      </c>
      <c r="B16" s="11">
        <f>SUM(B5:B15)</f>
        <v>132068700</v>
      </c>
      <c r="C16" s="11">
        <f>SUM(C5:C15)</f>
        <v>111510993.37</v>
      </c>
      <c r="D16" s="11">
        <f>SUM(D5:D15)</f>
        <v>18288065.990000002</v>
      </c>
      <c r="E16" s="12">
        <f>(C16+D16)/B16</f>
        <v>0.9828146968963881</v>
      </c>
      <c r="F16" s="11">
        <f aca="true" t="shared" si="3" ref="F16:M16">SUM(F5:F15)</f>
        <v>60060213.230000004</v>
      </c>
      <c r="G16" s="11">
        <f t="shared" si="3"/>
        <v>6481777.23</v>
      </c>
      <c r="H16" s="11">
        <f t="shared" si="3"/>
        <v>20090987.089999996</v>
      </c>
      <c r="I16" s="11">
        <f t="shared" si="3"/>
        <v>14458794.210000003</v>
      </c>
      <c r="J16" s="11">
        <f t="shared" si="3"/>
        <v>2297628.9999999995</v>
      </c>
      <c r="K16" s="11">
        <f t="shared" si="3"/>
        <v>22270456.170000006</v>
      </c>
      <c r="L16" s="11">
        <f t="shared" si="3"/>
        <v>4139202.43</v>
      </c>
      <c r="M16" s="19">
        <f t="shared" si="3"/>
        <v>2269640.6400000006</v>
      </c>
    </row>
    <row r="17" spans="1:13" ht="18" thickBot="1">
      <c r="A17" s="15" t="s">
        <v>50</v>
      </c>
      <c r="B17" s="6"/>
      <c r="C17" s="7"/>
      <c r="D17" s="8"/>
      <c r="E17" s="8"/>
      <c r="F17" s="13">
        <f>+F16/(53000000+8800000)</f>
        <v>0.9718481105177994</v>
      </c>
      <c r="G17" s="14">
        <f>+G16/(5358488+1200000)</f>
        <v>0.988303589180921</v>
      </c>
      <c r="H17" s="14">
        <f>+H16/(18257225+1850000)</f>
        <v>0.9991924340628802</v>
      </c>
      <c r="I17" s="14">
        <f>+I16/(10880908+3650000)</f>
        <v>0.9950372137790703</v>
      </c>
      <c r="J17" s="14">
        <f>+J16/(2235720+150000)</f>
        <v>0.9630757171839107</v>
      </c>
      <c r="K17" s="14">
        <f>+K16/(18001959+4350000)</f>
        <v>0.9963536605449216</v>
      </c>
      <c r="L17" s="14">
        <f>+L16/4334400</f>
        <v>0.954965492340347</v>
      </c>
      <c r="M17" s="9"/>
    </row>
    <row r="18" spans="2:13" ht="17.25" thickTop="1">
      <c r="B18" s="5"/>
      <c r="C18" s="50"/>
      <c r="D18" s="50"/>
      <c r="E18" s="5"/>
      <c r="M18" s="5"/>
    </row>
    <row r="19" spans="9:12" ht="16.5">
      <c r="I19" s="5"/>
      <c r="J19" s="5"/>
      <c r="K19" s="5"/>
      <c r="L19" s="126" t="s">
        <v>51</v>
      </c>
    </row>
    <row r="20" ht="16.5">
      <c r="L20" s="126"/>
    </row>
    <row r="21" ht="16.5">
      <c r="L21" s="127" t="s">
        <v>52</v>
      </c>
    </row>
    <row r="22" ht="16.5">
      <c r="L22" s="126"/>
    </row>
    <row r="23" ht="16.5">
      <c r="L23" s="149" t="s">
        <v>53</v>
      </c>
    </row>
    <row r="24" ht="16.5">
      <c r="L24" s="126"/>
    </row>
    <row r="25" ht="16.5">
      <c r="L25" s="128" t="s">
        <v>54</v>
      </c>
    </row>
    <row r="26" ht="16.5">
      <c r="L26" s="126"/>
    </row>
    <row r="27" ht="16.5">
      <c r="L27" s="133" t="s">
        <v>55</v>
      </c>
    </row>
    <row r="28" ht="16.5">
      <c r="L28" s="126"/>
    </row>
    <row r="29" ht="16.5">
      <c r="L29" s="129" t="s">
        <v>56</v>
      </c>
    </row>
    <row r="30" ht="16.5">
      <c r="L30" s="126"/>
    </row>
    <row r="31" ht="16.5">
      <c r="L31" s="130" t="s">
        <v>57</v>
      </c>
    </row>
    <row r="32" ht="16.5">
      <c r="L32" s="126"/>
    </row>
    <row r="33" ht="16.5">
      <c r="L33" s="131" t="s">
        <v>58</v>
      </c>
    </row>
    <row r="34" ht="16.5">
      <c r="L34" s="126"/>
    </row>
    <row r="35" ht="16.5">
      <c r="L35" s="132" t="s">
        <v>59</v>
      </c>
    </row>
    <row r="60" spans="6:14" ht="16.5">
      <c r="F60" s="1" t="s">
        <v>59</v>
      </c>
      <c r="G60" s="1" t="s">
        <v>58</v>
      </c>
      <c r="H60" s="1" t="s">
        <v>57</v>
      </c>
      <c r="I60" s="1" t="s">
        <v>60</v>
      </c>
      <c r="J60" s="1" t="s">
        <v>61</v>
      </c>
      <c r="K60" s="1" t="s">
        <v>62</v>
      </c>
      <c r="L60" s="1" t="s">
        <v>53</v>
      </c>
      <c r="M60" s="1" t="s">
        <v>63</v>
      </c>
      <c r="N60" s="1" t="s">
        <v>64</v>
      </c>
    </row>
    <row r="61" spans="1:14" ht="16.5">
      <c r="A61" s="1" t="s">
        <v>65</v>
      </c>
      <c r="F61" s="10">
        <f>+F5/B5</f>
        <v>0.25119020598491104</v>
      </c>
      <c r="G61" s="10">
        <f aca="true" t="shared" si="4" ref="G61:M61">+G5/$B$5</f>
        <v>0.005062799311698947</v>
      </c>
      <c r="H61" s="10">
        <f t="shared" si="4"/>
        <v>0.1888255217670217</v>
      </c>
      <c r="I61" s="10">
        <f t="shared" si="4"/>
        <v>0.30402040916237005</v>
      </c>
      <c r="J61" s="10">
        <f t="shared" si="4"/>
        <v>0.19018189500794783</v>
      </c>
      <c r="K61" s="10">
        <f t="shared" si="4"/>
        <v>0.012727108531944985</v>
      </c>
      <c r="L61" s="10">
        <f t="shared" si="4"/>
        <v>0.03247807232611185</v>
      </c>
      <c r="M61" s="10">
        <f t="shared" si="4"/>
        <v>0.015513987907993599</v>
      </c>
      <c r="N61" s="10">
        <f>SUM(F61:M61)</f>
        <v>1</v>
      </c>
    </row>
    <row r="62" spans="1:14" ht="16.5">
      <c r="A62" s="1" t="s">
        <v>95</v>
      </c>
      <c r="F62" s="10">
        <f>+F6/B6</f>
        <v>0.4235930989654521</v>
      </c>
      <c r="G62" s="10">
        <f>+G6/B6</f>
        <v>0.012228721373124004</v>
      </c>
      <c r="H62" s="10">
        <f>+H6/B6</f>
        <v>0.2397414336068369</v>
      </c>
      <c r="I62" s="10">
        <f>+I6/B6</f>
        <v>0.09904199031344724</v>
      </c>
      <c r="J62" s="10">
        <f>+J6/B6</f>
        <v>0.0159052408723991</v>
      </c>
      <c r="K62" s="10">
        <f>+K6/B6</f>
        <v>0.025255230357384178</v>
      </c>
      <c r="L62" s="10">
        <f>+L6/B6</f>
        <v>0.03207977016226245</v>
      </c>
      <c r="M62" s="10">
        <f>+M6/B6</f>
        <v>0.15215451434909416</v>
      </c>
      <c r="N62" s="10">
        <f>SUM(F62:M62)</f>
        <v>1.0000000000000002</v>
      </c>
    </row>
    <row r="63" spans="1:14" ht="16.5">
      <c r="A63" s="1" t="s">
        <v>96</v>
      </c>
      <c r="F63" s="10">
        <f>+F7/B7</f>
        <v>0.5315670609861505</v>
      </c>
      <c r="G63" s="10">
        <f>+G7/B7</f>
        <v>0.12232390695240639</v>
      </c>
      <c r="H63" s="10">
        <f>+H7/B7</f>
        <v>0.2321961972119547</v>
      </c>
      <c r="I63" s="10">
        <f>+I7/B7</f>
        <v>0.0001013834666176321</v>
      </c>
      <c r="J63" s="10">
        <f>+J7/B7</f>
        <v>0.02406017117824228</v>
      </c>
      <c r="K63" s="10">
        <f>+K7/B7</f>
        <v>0.00026355359720049053</v>
      </c>
      <c r="L63" s="10">
        <f>+L7/B7</f>
        <v>0.050188032449065646</v>
      </c>
      <c r="M63" s="10">
        <f>+M7/B7</f>
        <v>0.03929969415836258</v>
      </c>
      <c r="N63" s="10">
        <f>SUM(F63:M63)</f>
        <v>1.0000000000000002</v>
      </c>
    </row>
    <row r="64" spans="1:14" ht="16.5">
      <c r="A64" s="1" t="s">
        <v>66</v>
      </c>
      <c r="F64" s="10">
        <f aca="true" t="shared" si="5" ref="F64:M64">+F8/$B$8</f>
        <v>0.29695811596825267</v>
      </c>
      <c r="G64" s="10">
        <f t="shared" si="5"/>
        <v>0.008727081120413507</v>
      </c>
      <c r="H64" s="10">
        <f t="shared" si="5"/>
        <v>0.1132964341893028</v>
      </c>
      <c r="I64" s="10">
        <f t="shared" si="5"/>
        <v>0.39115857565039186</v>
      </c>
      <c r="J64" s="10">
        <f t="shared" si="5"/>
        <v>0.002472162140053524</v>
      </c>
      <c r="K64" s="10">
        <f t="shared" si="5"/>
        <v>0.0010643410158497927</v>
      </c>
      <c r="L64" s="10">
        <f t="shared" si="5"/>
        <v>0.026849659216296416</v>
      </c>
      <c r="M64" s="10">
        <f t="shared" si="5"/>
        <v>0.15947363069943948</v>
      </c>
      <c r="N64" s="10">
        <f aca="true" t="shared" si="6" ref="N64:N71">SUM(F64:M64)</f>
        <v>1</v>
      </c>
    </row>
    <row r="65" spans="1:14" ht="16.5">
      <c r="A65" s="1" t="s">
        <v>67</v>
      </c>
      <c r="F65" s="10">
        <f>+F9/$B$9</f>
        <v>0.11809625723887922</v>
      </c>
      <c r="G65" s="10">
        <f aca="true" t="shared" si="7" ref="G65:M65">+G9/$B$9</f>
        <v>0.015395472638971116</v>
      </c>
      <c r="H65" s="10">
        <f t="shared" si="7"/>
        <v>0.050365754774300255</v>
      </c>
      <c r="I65" s="10">
        <f t="shared" si="7"/>
        <v>0.001510107680237494</v>
      </c>
      <c r="J65" s="10">
        <f t="shared" si="7"/>
        <v>0.007405474242160018</v>
      </c>
      <c r="K65" s="10">
        <f t="shared" si="7"/>
        <v>0.7573938335356759</v>
      </c>
      <c r="L65" s="10">
        <f t="shared" si="7"/>
        <v>0.016214752892311987</v>
      </c>
      <c r="M65" s="10">
        <f t="shared" si="7"/>
        <v>0.033618346997464</v>
      </c>
      <c r="N65" s="10">
        <f t="shared" si="6"/>
        <v>1</v>
      </c>
    </row>
    <row r="66" spans="1:14" ht="16.5">
      <c r="A66" s="1" t="s">
        <v>70</v>
      </c>
      <c r="F66" s="10">
        <f>+F10/$B$10</f>
        <v>1.4886722345847578</v>
      </c>
      <c r="G66" s="10">
        <f aca="true" t="shared" si="8" ref="G66:M66">+G10/$B$10</f>
        <v>0.031938362293790615</v>
      </c>
      <c r="H66" s="10">
        <f t="shared" si="8"/>
        <v>0.18712758178416244</v>
      </c>
      <c r="I66" s="10">
        <f t="shared" si="8"/>
        <v>7.105284911332441E-05</v>
      </c>
      <c r="J66" s="10">
        <f t="shared" si="8"/>
        <v>0.0053681324060116135</v>
      </c>
      <c r="K66" s="10">
        <f t="shared" si="8"/>
        <v>0.001536894657487605</v>
      </c>
      <c r="L66" s="10">
        <f t="shared" si="8"/>
        <v>0.051337160896244835</v>
      </c>
      <c r="M66" s="10">
        <f t="shared" si="8"/>
        <v>-0.7660514194715685</v>
      </c>
      <c r="N66" s="10">
        <f t="shared" si="6"/>
        <v>0.9999999999999994</v>
      </c>
    </row>
    <row r="67" spans="1:14" ht="16.5">
      <c r="A67" s="1" t="s">
        <v>68</v>
      </c>
      <c r="F67" s="10">
        <f>+F11/$B$11</f>
        <v>0.5270180518040875</v>
      </c>
      <c r="G67" s="10">
        <f aca="true" t="shared" si="9" ref="G67:M67">+G11/$B$11</f>
        <v>0.021535786663335884</v>
      </c>
      <c r="H67" s="10">
        <f t="shared" si="9"/>
        <v>0.04320624521850458</v>
      </c>
      <c r="I67" s="10">
        <f t="shared" si="9"/>
        <v>0.13582447813392873</v>
      </c>
      <c r="J67" s="10">
        <f t="shared" si="9"/>
        <v>0.004904975877843526</v>
      </c>
      <c r="K67" s="10">
        <f t="shared" si="9"/>
        <v>0</v>
      </c>
      <c r="L67" s="10">
        <f t="shared" si="9"/>
        <v>0.03422557729238552</v>
      </c>
      <c r="M67" s="10">
        <f t="shared" si="9"/>
        <v>0.23328488500991423</v>
      </c>
      <c r="N67" s="10">
        <f t="shared" si="6"/>
        <v>1</v>
      </c>
    </row>
    <row r="68" spans="1:14" ht="16.5">
      <c r="A68" s="1" t="s">
        <v>99</v>
      </c>
      <c r="F68" s="10">
        <f>+F12/$B$12</f>
        <v>0.589648532882409</v>
      </c>
      <c r="G68" s="10">
        <f aca="true" t="shared" si="10" ref="G68:M68">+G12/$B$12</f>
        <v>0.00021771728163193303</v>
      </c>
      <c r="H68" s="10">
        <f t="shared" si="10"/>
        <v>0.1383556321438483</v>
      </c>
      <c r="I68" s="10">
        <f t="shared" si="10"/>
        <v>0</v>
      </c>
      <c r="J68" s="10">
        <f t="shared" si="10"/>
        <v>0.017795612523476678</v>
      </c>
      <c r="K68" s="10">
        <f t="shared" si="10"/>
        <v>0</v>
      </c>
      <c r="L68" s="10">
        <f t="shared" si="10"/>
        <v>0.041700690370313</v>
      </c>
      <c r="M68" s="10">
        <f t="shared" si="10"/>
        <v>0.21228181479832103</v>
      </c>
      <c r="N68" s="10">
        <f t="shared" si="6"/>
        <v>1</v>
      </c>
    </row>
    <row r="69" spans="1:14" ht="16.5">
      <c r="A69" s="1" t="s">
        <v>71</v>
      </c>
      <c r="F69" s="10">
        <f>+F13/$B$13</f>
        <v>0.4548174945127156</v>
      </c>
      <c r="G69" s="10">
        <f aca="true" t="shared" si="11" ref="G69:M69">+G13/$B$13</f>
        <v>0.1302675137693962</v>
      </c>
      <c r="H69" s="10">
        <f t="shared" si="11"/>
        <v>0.15743533267372617</v>
      </c>
      <c r="I69" s="10">
        <f t="shared" si="11"/>
        <v>0.005730903466330649</v>
      </c>
      <c r="J69" s="10">
        <f t="shared" si="11"/>
        <v>0.007081568137617496</v>
      </c>
      <c r="K69" s="10">
        <f t="shared" si="11"/>
        <v>0.042477993345872496</v>
      </c>
      <c r="L69" s="10">
        <f t="shared" si="11"/>
        <v>0.032846656712550514</v>
      </c>
      <c r="M69" s="10">
        <f t="shared" si="11"/>
        <v>0.16934253738179084</v>
      </c>
      <c r="N69" s="10">
        <f t="shared" si="6"/>
        <v>0.9999999999999999</v>
      </c>
    </row>
    <row r="70" spans="1:14" ht="16.5">
      <c r="A70" s="1" t="s">
        <v>72</v>
      </c>
      <c r="F70" s="10">
        <f>+F14/$B$14</f>
        <v>0.40176794282053624</v>
      </c>
      <c r="G70" s="10">
        <f aca="true" t="shared" si="12" ref="G70:M70">+G14/$B$14</f>
        <v>0.008445623789112634</v>
      </c>
      <c r="H70" s="10">
        <f t="shared" si="12"/>
        <v>0.3825801632459677</v>
      </c>
      <c r="I70" s="10">
        <f t="shared" si="12"/>
        <v>0.11058190436575638</v>
      </c>
      <c r="J70" s="10">
        <f t="shared" si="12"/>
        <v>0.0008437118382799449</v>
      </c>
      <c r="K70" s="10">
        <f t="shared" si="12"/>
        <v>0.009467976964501398</v>
      </c>
      <c r="L70" s="10">
        <f t="shared" si="12"/>
        <v>0.034479034826844494</v>
      </c>
      <c r="M70" s="10">
        <f t="shared" si="12"/>
        <v>0.0518336421490013</v>
      </c>
      <c r="N70" s="10">
        <f t="shared" si="6"/>
        <v>1</v>
      </c>
    </row>
    <row r="71" spans="1:14" ht="16.5">
      <c r="A71" s="1" t="s">
        <v>69</v>
      </c>
      <c r="F71" s="10">
        <f>+F15/$B$15</f>
        <v>0.2655407934793745</v>
      </c>
      <c r="G71" s="10">
        <f aca="true" t="shared" si="13" ref="G71:M71">+G15/$B$15</f>
        <v>0.009655750219372554</v>
      </c>
      <c r="H71" s="10">
        <f t="shared" si="13"/>
        <v>0.30572916042529336</v>
      </c>
      <c r="I71" s="10">
        <f t="shared" si="13"/>
        <v>0.24006178422738433</v>
      </c>
      <c r="J71" s="10">
        <f t="shared" si="13"/>
        <v>0.038537550385136614</v>
      </c>
      <c r="K71" s="10">
        <f t="shared" si="13"/>
        <v>0.0040276371587148925</v>
      </c>
      <c r="L71" s="10">
        <f t="shared" si="13"/>
        <v>0.033957863291890954</v>
      </c>
      <c r="M71" s="10">
        <f t="shared" si="13"/>
        <v>0.10248946081283272</v>
      </c>
      <c r="N71" s="10">
        <f t="shared" si="6"/>
        <v>0.9999999999999999</v>
      </c>
    </row>
  </sheetData>
  <mergeCells count="1">
    <mergeCell ref="F3:L3"/>
  </mergeCells>
  <printOptions/>
  <pageMargins left="0.84" right="0.46" top="0.68" bottom="0.22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6"/>
  <sheetViews>
    <sheetView workbookViewId="0" topLeftCell="I11">
      <selection activeCell="P20" sqref="P20"/>
    </sheetView>
  </sheetViews>
  <sheetFormatPr defaultColWidth="11.421875" defaultRowHeight="15"/>
  <cols>
    <col min="1" max="1" width="19.28125" style="1" customWidth="1"/>
    <col min="2" max="2" width="9.28125" style="1" customWidth="1"/>
    <col min="3" max="3" width="12.57421875" style="1" customWidth="1"/>
    <col min="4" max="4" width="7.421875" style="1" customWidth="1"/>
    <col min="5" max="5" width="10.140625" style="1" customWidth="1"/>
    <col min="6" max="6" width="9.28125" style="1" customWidth="1"/>
    <col min="7" max="7" width="12.28125" style="1" customWidth="1"/>
    <col min="8" max="8" width="7.421875" style="1" customWidth="1"/>
    <col min="9" max="9" width="10.7109375" style="1" customWidth="1"/>
    <col min="10" max="10" width="8.421875" style="1" customWidth="1"/>
    <col min="11" max="11" width="10.8515625" style="1" customWidth="1"/>
    <col min="12" max="12" width="7.8515625" style="1" customWidth="1"/>
    <col min="13" max="13" width="10.421875" style="1" customWidth="1"/>
    <col min="14" max="14" width="8.28125" style="1" customWidth="1"/>
    <col min="15" max="15" width="10.7109375" style="1" customWidth="1"/>
    <col min="16" max="16" width="11.8515625" style="1" customWidth="1"/>
    <col min="17" max="17" width="12.00390625" style="1" customWidth="1"/>
    <col min="18" max="19" width="13.8515625" style="1" bestFit="1" customWidth="1"/>
    <col min="20" max="16384" width="11.421875" style="1" customWidth="1"/>
  </cols>
  <sheetData>
    <row r="2" spans="1:15" ht="18">
      <c r="A2" s="144" t="s">
        <v>0</v>
      </c>
      <c r="B2" s="169" t="s">
        <v>106</v>
      </c>
      <c r="C2" s="169"/>
      <c r="D2" s="174"/>
      <c r="E2" s="174"/>
      <c r="I2" s="21" t="s">
        <v>23</v>
      </c>
      <c r="J2" s="21"/>
      <c r="K2" s="148">
        <v>40817</v>
      </c>
      <c r="L2" s="120"/>
      <c r="M2" s="120"/>
      <c r="O2" s="20"/>
    </row>
    <row r="3" spans="2:4" ht="6.75" customHeight="1">
      <c r="B3" s="175"/>
      <c r="C3" s="175"/>
      <c r="D3" s="65"/>
    </row>
    <row r="4" ht="17.25" thickBot="1"/>
    <row r="5" spans="1:17" ht="17.25">
      <c r="A5" s="25"/>
      <c r="B5" s="176" t="s">
        <v>1</v>
      </c>
      <c r="C5" s="177"/>
      <c r="D5" s="176" t="s">
        <v>2</v>
      </c>
      <c r="E5" s="177"/>
      <c r="F5" s="176" t="s">
        <v>3</v>
      </c>
      <c r="G5" s="177"/>
      <c r="H5" s="176" t="s">
        <v>4</v>
      </c>
      <c r="I5" s="177"/>
      <c r="J5" s="176" t="s">
        <v>32</v>
      </c>
      <c r="K5" s="177"/>
      <c r="L5" s="176" t="s">
        <v>36</v>
      </c>
      <c r="M5" s="177"/>
      <c r="N5" s="176" t="s">
        <v>33</v>
      </c>
      <c r="O5" s="177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4" t="s">
        <v>25</v>
      </c>
      <c r="Q6" s="30" t="s">
        <v>39</v>
      </c>
    </row>
    <row r="7" spans="1:19" ht="17.25">
      <c r="A7" s="31" t="s">
        <v>14</v>
      </c>
      <c r="B7" s="66">
        <v>1180470</v>
      </c>
      <c r="C7" s="33">
        <f>7755.78+486778.19+104.16+55762.16+1401.91+109123.16+958.89+214875.34</f>
        <v>876759.5900000001</v>
      </c>
      <c r="D7" s="66">
        <f>1700+60000</f>
        <v>61700</v>
      </c>
      <c r="E7" s="33">
        <f>2373.5+19011.3</f>
        <v>21384.8</v>
      </c>
      <c r="F7" s="66">
        <f>227129+200000</f>
        <v>427129</v>
      </c>
      <c r="G7" s="33">
        <f>83962.93+670054.73+3009.36</f>
        <v>757027.0199999999</v>
      </c>
      <c r="H7" s="66">
        <f>498847+100000</f>
        <v>598847</v>
      </c>
      <c r="I7" s="33">
        <f>49134.77+656288.01+300+1000</f>
        <v>706722.78</v>
      </c>
      <c r="J7" s="66">
        <f>1400+20000+150000</f>
        <v>171400</v>
      </c>
      <c r="K7" s="33">
        <f>210.47+40620.32</f>
        <v>40830.79</v>
      </c>
      <c r="L7" s="66">
        <v>70000</v>
      </c>
      <c r="M7" s="33">
        <f>840+36493.39</f>
        <v>37333.39</v>
      </c>
      <c r="N7" s="66">
        <v>200000</v>
      </c>
      <c r="O7" s="33">
        <v>181691.45</v>
      </c>
      <c r="P7" s="34">
        <f>+O7+K7+I7+G7+E7+C7+M7</f>
        <v>2621749.8200000003</v>
      </c>
      <c r="Q7" s="34">
        <f>+B7+D7+F7+H7+J7+N7-P7+L7</f>
        <v>87796.1799999997</v>
      </c>
      <c r="R7" s="5"/>
      <c r="S7" s="5"/>
    </row>
    <row r="8" spans="1:17" ht="17.25">
      <c r="A8" s="31" t="s">
        <v>135</v>
      </c>
      <c r="B8" s="66">
        <v>0</v>
      </c>
      <c r="C8" s="33">
        <v>0</v>
      </c>
      <c r="D8" s="66">
        <v>10000</v>
      </c>
      <c r="E8" s="33">
        <v>0</v>
      </c>
      <c r="F8" s="66">
        <v>62217</v>
      </c>
      <c r="G8" s="33">
        <v>0</v>
      </c>
      <c r="H8" s="66">
        <v>0</v>
      </c>
      <c r="I8" s="33">
        <v>0</v>
      </c>
      <c r="J8" s="66">
        <v>1000</v>
      </c>
      <c r="K8" s="33">
        <v>0</v>
      </c>
      <c r="L8" s="66">
        <v>0</v>
      </c>
      <c r="M8" s="33">
        <v>0</v>
      </c>
      <c r="N8" s="66">
        <v>0</v>
      </c>
      <c r="O8" s="37">
        <v>0</v>
      </c>
      <c r="P8" s="34">
        <f>+O8+K8+I8+G8+E8+C8+M8</f>
        <v>0</v>
      </c>
      <c r="Q8" s="34">
        <f>+B8+D8+F8+H8+J8+N8-P8</f>
        <v>73217</v>
      </c>
    </row>
    <row r="9" spans="1:17" ht="17.25">
      <c r="A9" s="31" t="s">
        <v>82</v>
      </c>
      <c r="B9" s="66">
        <v>186349</v>
      </c>
      <c r="C9" s="33">
        <f>171.05+145634.83</f>
        <v>145805.87999999998</v>
      </c>
      <c r="D9" s="66">
        <v>0</v>
      </c>
      <c r="E9" s="33">
        <v>960</v>
      </c>
      <c r="F9" s="66">
        <v>0</v>
      </c>
      <c r="G9" s="33">
        <f>1783.26+35979.9</f>
        <v>37763.16</v>
      </c>
      <c r="H9" s="66">
        <v>0</v>
      </c>
      <c r="I9" s="33">
        <v>0</v>
      </c>
      <c r="J9" s="66">
        <v>0</v>
      </c>
      <c r="K9" s="33">
        <v>7158.67</v>
      </c>
      <c r="L9" s="66">
        <v>0</v>
      </c>
      <c r="M9" s="33">
        <v>0</v>
      </c>
      <c r="N9" s="66">
        <v>0</v>
      </c>
      <c r="O9" s="37">
        <v>5478.17</v>
      </c>
      <c r="P9" s="34">
        <f>+O9+K9+I9+G9+E9+C9</f>
        <v>197165.87999999998</v>
      </c>
      <c r="Q9" s="34">
        <f>+B9+D9+F9+H9+J9+N9-P9</f>
        <v>-10816.879999999976</v>
      </c>
    </row>
    <row r="10" spans="1:18" ht="17.25">
      <c r="A10" s="31" t="s">
        <v>83</v>
      </c>
      <c r="B10" s="66">
        <v>355484</v>
      </c>
      <c r="C10" s="33">
        <f>479.51+272094.46</f>
        <v>272573.97000000003</v>
      </c>
      <c r="D10" s="66">
        <v>0</v>
      </c>
      <c r="E10" s="33">
        <v>2138.28</v>
      </c>
      <c r="F10" s="66">
        <v>244893</v>
      </c>
      <c r="G10" s="33">
        <f>2103.02+188293.92</f>
        <v>190396.94</v>
      </c>
      <c r="H10" s="66">
        <v>0</v>
      </c>
      <c r="I10" s="33">
        <v>0</v>
      </c>
      <c r="J10" s="66">
        <v>0</v>
      </c>
      <c r="K10" s="33">
        <v>2001.89</v>
      </c>
      <c r="L10" s="66">
        <v>0</v>
      </c>
      <c r="M10" s="33">
        <v>0</v>
      </c>
      <c r="N10" s="66">
        <v>0</v>
      </c>
      <c r="O10" s="37">
        <v>8396.4</v>
      </c>
      <c r="P10" s="34">
        <f aca="true" t="shared" si="0" ref="P10:P15">+O10+K10+I10+G10+E10+C10+M10</f>
        <v>475507.48000000004</v>
      </c>
      <c r="Q10" s="34">
        <f aca="true" t="shared" si="1" ref="Q10:Q16">+B10+D10+F10+H10+J10+N10-P10</f>
        <v>124869.51999999996</v>
      </c>
      <c r="R10" s="5"/>
    </row>
    <row r="11" spans="1:17" ht="17.25">
      <c r="A11" s="31" t="s">
        <v>73</v>
      </c>
      <c r="B11" s="66">
        <v>840190</v>
      </c>
      <c r="C11" s="33">
        <f>1383.75+324989.23+2795.27+191325.91+11.8+72892.34+3+15362.94</f>
        <v>608764.24</v>
      </c>
      <c r="D11" s="66">
        <v>2080</v>
      </c>
      <c r="E11" s="33">
        <f>3210+6528.31</f>
        <v>9738.310000000001</v>
      </c>
      <c r="F11" s="66">
        <v>12267</v>
      </c>
      <c r="G11" s="33">
        <f>2402.8+36674.21+2000+15970</f>
        <v>57047.01</v>
      </c>
      <c r="H11" s="66">
        <v>0</v>
      </c>
      <c r="I11" s="33">
        <v>0</v>
      </c>
      <c r="J11" s="66">
        <v>0</v>
      </c>
      <c r="K11" s="33">
        <v>248</v>
      </c>
      <c r="L11" s="66">
        <v>0</v>
      </c>
      <c r="M11" s="33">
        <v>0</v>
      </c>
      <c r="N11" s="66">
        <v>0</v>
      </c>
      <c r="O11" s="37">
        <v>18387.04</v>
      </c>
      <c r="P11" s="34">
        <f>+O11+K11+I11+G11+E11+C11+M11</f>
        <v>694184.6</v>
      </c>
      <c r="Q11" s="34">
        <f t="shared" si="1"/>
        <v>160352.40000000002</v>
      </c>
    </row>
    <row r="12" spans="1:17" ht="17.25">
      <c r="A12" s="31" t="s">
        <v>107</v>
      </c>
      <c r="B12" s="66">
        <v>774394</v>
      </c>
      <c r="C12" s="33">
        <f>2356.12+721220.79</f>
        <v>723576.91</v>
      </c>
      <c r="D12" s="66">
        <v>11000</v>
      </c>
      <c r="E12" s="33">
        <v>28511.66</v>
      </c>
      <c r="F12" s="66">
        <v>102650</v>
      </c>
      <c r="G12" s="33">
        <f>6000+89564.69</f>
        <v>95564.69</v>
      </c>
      <c r="H12" s="66">
        <v>0</v>
      </c>
      <c r="I12" s="33">
        <v>0</v>
      </c>
      <c r="J12" s="66">
        <v>8000</v>
      </c>
      <c r="K12" s="33">
        <v>12268.72</v>
      </c>
      <c r="L12" s="66">
        <v>0</v>
      </c>
      <c r="M12" s="33">
        <v>0</v>
      </c>
      <c r="N12" s="66">
        <v>0</v>
      </c>
      <c r="O12" s="37">
        <v>23198.73</v>
      </c>
      <c r="P12" s="34">
        <f t="shared" si="0"/>
        <v>883120.71</v>
      </c>
      <c r="Q12" s="34">
        <f t="shared" si="1"/>
        <v>12923.290000000037</v>
      </c>
    </row>
    <row r="13" spans="1:17" ht="17.25">
      <c r="A13" s="31" t="s">
        <v>141</v>
      </c>
      <c r="B13" s="66">
        <v>233995</v>
      </c>
      <c r="C13" s="33">
        <f>762.91+255392.24</f>
        <v>256155.15</v>
      </c>
      <c r="D13" s="66">
        <v>10800</v>
      </c>
      <c r="E13" s="33">
        <f>1887.93+2079.33</f>
        <v>3967.26</v>
      </c>
      <c r="F13" s="66">
        <v>89500</v>
      </c>
      <c r="G13" s="33">
        <v>36865.69</v>
      </c>
      <c r="H13" s="66">
        <v>0</v>
      </c>
      <c r="I13" s="33">
        <f>2560.32+10525</f>
        <v>13085.32</v>
      </c>
      <c r="J13" s="66">
        <f>390000-315000</f>
        <v>75000</v>
      </c>
      <c r="K13" s="33">
        <f>966.45+72669.42</f>
        <v>73635.87</v>
      </c>
      <c r="L13" s="66">
        <v>0</v>
      </c>
      <c r="M13" s="33">
        <f>51815.74+89042.79</f>
        <v>140858.53</v>
      </c>
      <c r="N13" s="66">
        <v>0</v>
      </c>
      <c r="O13" s="37">
        <v>3951.85</v>
      </c>
      <c r="P13" s="34">
        <f>+O13+K13+I13+G13+E13+C13+M13</f>
        <v>528519.67</v>
      </c>
      <c r="Q13" s="34">
        <f t="shared" si="1"/>
        <v>-119224.67000000004</v>
      </c>
    </row>
    <row r="14" spans="1:17" ht="17.25">
      <c r="A14" s="31" t="s">
        <v>77</v>
      </c>
      <c r="B14" s="66">
        <v>762365</v>
      </c>
      <c r="C14" s="33">
        <f>2860.82+727049.42</f>
        <v>729910.24</v>
      </c>
      <c r="D14" s="66">
        <v>38595</v>
      </c>
      <c r="E14" s="33">
        <f>1843.64+35648.47</f>
        <v>37492.11</v>
      </c>
      <c r="F14" s="66">
        <v>338795</v>
      </c>
      <c r="G14" s="33">
        <f>5069.48+18424.73</f>
        <v>23494.21</v>
      </c>
      <c r="H14" s="66">
        <v>24000</v>
      </c>
      <c r="I14" s="33">
        <f>522.4+54481.35</f>
        <v>55003.75</v>
      </c>
      <c r="J14" s="66">
        <v>26088</v>
      </c>
      <c r="K14" s="33">
        <v>5461.67</v>
      </c>
      <c r="L14" s="66">
        <v>75000</v>
      </c>
      <c r="M14" s="33">
        <v>27489.2</v>
      </c>
      <c r="N14" s="66">
        <v>0</v>
      </c>
      <c r="O14" s="37">
        <v>18767.5</v>
      </c>
      <c r="P14" s="34">
        <f t="shared" si="0"/>
        <v>897618.6799999999</v>
      </c>
      <c r="Q14" s="34">
        <f>+B14+D14+F14+H14+J14+N14-P14+L14</f>
        <v>367224.32000000007</v>
      </c>
    </row>
    <row r="15" spans="1:17" ht="17.25">
      <c r="A15" s="31" t="s">
        <v>76</v>
      </c>
      <c r="B15" s="66">
        <v>451951</v>
      </c>
      <c r="C15" s="33">
        <f>860.83+356674.63</f>
        <v>357535.46</v>
      </c>
      <c r="D15" s="66">
        <v>0</v>
      </c>
      <c r="E15" s="33">
        <f>273.4+4354.94</f>
        <v>4628.339999999999</v>
      </c>
      <c r="F15" s="66">
        <f>1319636+400000</f>
        <v>1719636</v>
      </c>
      <c r="G15" s="33">
        <f>240438.98+748152.32</f>
        <v>988591.2999999999</v>
      </c>
      <c r="H15" s="66">
        <v>135000</v>
      </c>
      <c r="I15" s="33">
        <f>48317.58+20431.82</f>
        <v>68749.4</v>
      </c>
      <c r="J15" s="66">
        <v>25593</v>
      </c>
      <c r="K15" s="33">
        <v>7131</v>
      </c>
      <c r="L15" s="66">
        <v>0</v>
      </c>
      <c r="M15" s="33">
        <v>16318.18</v>
      </c>
      <c r="N15" s="66">
        <v>0</v>
      </c>
      <c r="O15" s="37">
        <v>39997.16</v>
      </c>
      <c r="P15" s="34">
        <f t="shared" si="0"/>
        <v>1482950.8399999999</v>
      </c>
      <c r="Q15" s="34">
        <f t="shared" si="1"/>
        <v>849229.1600000001</v>
      </c>
    </row>
    <row r="16" spans="1:18" ht="17.25">
      <c r="A16" s="31" t="s">
        <v>108</v>
      </c>
      <c r="B16" s="32">
        <v>89461</v>
      </c>
      <c r="C16" s="33">
        <v>19107.52</v>
      </c>
      <c r="D16" s="32">
        <v>0</v>
      </c>
      <c r="E16" s="33">
        <v>0</v>
      </c>
      <c r="F16" s="32">
        <v>4014</v>
      </c>
      <c r="G16" s="33">
        <v>767.44</v>
      </c>
      <c r="H16" s="32">
        <v>0</v>
      </c>
      <c r="I16" s="33">
        <v>0</v>
      </c>
      <c r="J16" s="32">
        <v>0</v>
      </c>
      <c r="K16" s="33">
        <f>99.29*2</f>
        <v>198.58</v>
      </c>
      <c r="L16" s="66">
        <v>0</v>
      </c>
      <c r="M16" s="37">
        <v>0</v>
      </c>
      <c r="N16" s="32">
        <v>0</v>
      </c>
      <c r="O16" s="37">
        <v>2318.74</v>
      </c>
      <c r="P16" s="34">
        <f>+O16+K16+I16+G16+E16+C16</f>
        <v>22392.28</v>
      </c>
      <c r="Q16" s="34">
        <f t="shared" si="1"/>
        <v>71082.72</v>
      </c>
      <c r="R16" s="156"/>
    </row>
    <row r="17" spans="1:18" ht="18" thickBot="1">
      <c r="A17" s="38" t="s">
        <v>11</v>
      </c>
      <c r="B17" s="39">
        <f>SUM(B7:B16)</f>
        <v>4874659</v>
      </c>
      <c r="C17" s="40">
        <f>SUM(C7:C16)</f>
        <v>3990188.9600000004</v>
      </c>
      <c r="D17" s="39">
        <f>SUM(D7:D16)</f>
        <v>134175</v>
      </c>
      <c r="E17" s="40">
        <f>SUM(E7:E16)</f>
        <v>108820.76</v>
      </c>
      <c r="F17" s="39">
        <f aca="true" t="shared" si="2" ref="F17:P17">SUM(F7:F16)</f>
        <v>3001101</v>
      </c>
      <c r="G17" s="40">
        <f t="shared" si="2"/>
        <v>2187517.4599999995</v>
      </c>
      <c r="H17" s="39">
        <f t="shared" si="2"/>
        <v>757847</v>
      </c>
      <c r="I17" s="40">
        <f t="shared" si="2"/>
        <v>843561.25</v>
      </c>
      <c r="J17" s="39">
        <f t="shared" si="2"/>
        <v>307081</v>
      </c>
      <c r="K17" s="40">
        <f t="shared" si="2"/>
        <v>148935.19</v>
      </c>
      <c r="L17" s="39">
        <f t="shared" si="2"/>
        <v>145000</v>
      </c>
      <c r="M17" s="40">
        <f t="shared" si="2"/>
        <v>221999.3</v>
      </c>
      <c r="N17" s="39">
        <f t="shared" si="2"/>
        <v>200000</v>
      </c>
      <c r="O17" s="40">
        <f t="shared" si="2"/>
        <v>302187.04000000004</v>
      </c>
      <c r="P17" s="42">
        <f t="shared" si="2"/>
        <v>7803209.96</v>
      </c>
      <c r="Q17" s="42">
        <f>SUM(Q7:Q16)</f>
        <v>1616653.0399999998</v>
      </c>
      <c r="R17" s="5"/>
    </row>
    <row r="18" spans="1:17" ht="17.25" thickBot="1">
      <c r="A18" s="43" t="s">
        <v>30</v>
      </c>
      <c r="B18" s="44"/>
      <c r="C18" s="137">
        <f>+C17/B17</f>
        <v>0.8185575565388267</v>
      </c>
      <c r="D18" s="46"/>
      <c r="E18" s="137">
        <f>+E17/D17</f>
        <v>0.8110360350288801</v>
      </c>
      <c r="F18" s="137"/>
      <c r="G18" s="137">
        <f>+G17/F17</f>
        <v>0.7289049785395425</v>
      </c>
      <c r="H18" s="137"/>
      <c r="I18" s="137">
        <f>+I17/H17</f>
        <v>1.1131023148471921</v>
      </c>
      <c r="J18" s="137"/>
      <c r="K18" s="137">
        <f>+K17/J17</f>
        <v>0.4850029471051612</v>
      </c>
      <c r="L18" s="145"/>
      <c r="M18" s="145">
        <f>+M17/L17</f>
        <v>1.5310296551724136</v>
      </c>
      <c r="N18" s="137"/>
      <c r="O18" s="139">
        <f>+O17/N17</f>
        <v>1.5109352000000003</v>
      </c>
      <c r="P18" s="56"/>
      <c r="Q18" s="56"/>
    </row>
    <row r="19" spans="1:17" ht="8.25" customHeight="1">
      <c r="A19" s="49"/>
      <c r="B19" s="49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ht="16.5">
      <c r="P20" s="50"/>
    </row>
    <row r="22" ht="17.25">
      <c r="P22" s="67"/>
    </row>
    <row r="23" ht="16.5">
      <c r="P23" s="68"/>
    </row>
    <row r="24" ht="16.5">
      <c r="P24" s="56"/>
    </row>
    <row r="25" ht="16.5">
      <c r="P25" s="56"/>
    </row>
    <row r="26" ht="16.5">
      <c r="P26" s="56"/>
    </row>
    <row r="40" spans="1:6" ht="16.5">
      <c r="A40" s="51"/>
      <c r="B40" s="51"/>
      <c r="C40" s="51"/>
      <c r="D40" s="51"/>
      <c r="E40" s="51"/>
      <c r="F40" s="51"/>
    </row>
    <row r="42" spans="3:6" ht="16.5">
      <c r="C42" s="50"/>
      <c r="D42" s="5"/>
      <c r="E42" s="51"/>
      <c r="F42" s="51"/>
    </row>
    <row r="43" spans="3:6" ht="16.5">
      <c r="C43" s="50"/>
      <c r="D43" s="5"/>
      <c r="E43" s="51"/>
      <c r="F43" s="51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6" spans="3:6" ht="16.5">
      <c r="C46" s="50"/>
      <c r="D46" s="5"/>
      <c r="E46" s="51"/>
      <c r="F46" s="51"/>
    </row>
    <row r="47" spans="3:6" ht="16.5">
      <c r="C47" s="50"/>
      <c r="D47" s="5"/>
      <c r="E47" s="51"/>
      <c r="F47" s="51"/>
    </row>
    <row r="48" spans="3:6" ht="16.5">
      <c r="C48" s="50"/>
      <c r="D48" s="5"/>
      <c r="E48" s="51"/>
      <c r="F48" s="51"/>
    </row>
    <row r="49" ht="16.5">
      <c r="C49" s="48"/>
    </row>
    <row r="51" spans="1:4" ht="16.5">
      <c r="A51" s="60" t="s">
        <v>26</v>
      </c>
      <c r="B51" s="69" t="s">
        <v>27</v>
      </c>
      <c r="C51" s="60" t="s">
        <v>28</v>
      </c>
      <c r="D51" s="60"/>
    </row>
    <row r="52" spans="1:3" ht="17.25">
      <c r="A52" s="62">
        <f>+B17</f>
        <v>4874659</v>
      </c>
      <c r="B52" s="63">
        <f>+C17</f>
        <v>3990188.9600000004</v>
      </c>
      <c r="C52" s="60" t="s">
        <v>1</v>
      </c>
    </row>
    <row r="53" spans="1:3" ht="17.25">
      <c r="A53" s="62">
        <f>+D17</f>
        <v>134175</v>
      </c>
      <c r="B53" s="63">
        <f>+E17</f>
        <v>108820.76</v>
      </c>
      <c r="C53" s="60" t="s">
        <v>2</v>
      </c>
    </row>
    <row r="54" spans="1:3" ht="17.25">
      <c r="A54" s="62">
        <f>+F17</f>
        <v>3001101</v>
      </c>
      <c r="B54" s="63">
        <f>+G17</f>
        <v>2187517.4599999995</v>
      </c>
      <c r="C54" s="60" t="s">
        <v>3</v>
      </c>
    </row>
    <row r="55" spans="1:3" ht="17.25">
      <c r="A55" s="62">
        <f>+H17</f>
        <v>757847</v>
      </c>
      <c r="B55" s="63">
        <f>+I17</f>
        <v>843561.25</v>
      </c>
      <c r="C55" s="60" t="s">
        <v>34</v>
      </c>
    </row>
    <row r="56" spans="1:3" ht="17.25">
      <c r="A56" s="62">
        <f>+J17</f>
        <v>307081</v>
      </c>
      <c r="B56" s="63">
        <f>+K17</f>
        <v>148935.19</v>
      </c>
      <c r="C56" s="60" t="s">
        <v>32</v>
      </c>
    </row>
    <row r="57" spans="1:3" ht="17.25">
      <c r="A57" s="62">
        <v>0</v>
      </c>
      <c r="B57" s="63">
        <f>+M17</f>
        <v>221999.3</v>
      </c>
      <c r="C57" s="60" t="s">
        <v>104</v>
      </c>
    </row>
    <row r="58" spans="1:3" ht="17.25">
      <c r="A58" s="62">
        <f>+N17</f>
        <v>200000</v>
      </c>
      <c r="B58" s="63">
        <f>+O17</f>
        <v>302187.04000000004</v>
      </c>
      <c r="C58" s="60" t="s">
        <v>35</v>
      </c>
    </row>
    <row r="59" spans="1:3" ht="17.25">
      <c r="A59" s="62"/>
      <c r="B59" s="62"/>
      <c r="C59" s="60"/>
    </row>
    <row r="60" spans="1:3" ht="17.25">
      <c r="A60" s="62">
        <v>866913</v>
      </c>
      <c r="B60" s="63">
        <v>406071.92</v>
      </c>
      <c r="C60" s="60"/>
    </row>
    <row r="61" spans="1:3" ht="17.25">
      <c r="A61" s="62"/>
      <c r="B61" s="62"/>
      <c r="C61" s="60"/>
    </row>
    <row r="62" spans="1:2" ht="17.25">
      <c r="A62" s="62"/>
      <c r="B62" s="62"/>
    </row>
    <row r="63" spans="1:2" ht="17.25">
      <c r="A63" s="62"/>
      <c r="B63" s="62"/>
    </row>
    <row r="64" spans="1:2" ht="17.25">
      <c r="A64" s="62"/>
      <c r="B64" s="62"/>
    </row>
    <row r="65" spans="1:2" ht="17.25">
      <c r="A65" s="62"/>
      <c r="B65" s="62"/>
    </row>
    <row r="66" spans="1:2" ht="17.25">
      <c r="A66" s="62"/>
      <c r="B66" s="62"/>
    </row>
    <row r="67" spans="1:2" ht="17.25">
      <c r="A67" s="62"/>
      <c r="B67" s="62"/>
    </row>
    <row r="68" spans="1:2" ht="17.25">
      <c r="A68" s="62"/>
      <c r="B68" s="62"/>
    </row>
    <row r="69" spans="1:2" ht="17.25">
      <c r="A69" s="62"/>
      <c r="B69" s="62"/>
    </row>
    <row r="70" spans="1:2" ht="17.25">
      <c r="A70" s="62"/>
      <c r="B70" s="62"/>
    </row>
    <row r="71" spans="1:2" ht="17.25">
      <c r="A71" s="62"/>
      <c r="B71" s="62"/>
    </row>
    <row r="72" spans="1:2" ht="17.25">
      <c r="A72" s="62"/>
      <c r="B72" s="62"/>
    </row>
    <row r="73" spans="1:2" ht="17.25">
      <c r="A73" s="62"/>
      <c r="B73" s="62"/>
    </row>
    <row r="74" spans="1:2" ht="17.25">
      <c r="A74" s="62"/>
      <c r="B74" s="62"/>
    </row>
    <row r="75" spans="1:2" ht="17.25">
      <c r="A75" s="62"/>
      <c r="B75" s="62"/>
    </row>
    <row r="76" spans="1:2" ht="17.25">
      <c r="A76" s="62"/>
      <c r="B76" s="62"/>
    </row>
  </sheetData>
  <mergeCells count="9">
    <mergeCell ref="B2:E2"/>
    <mergeCell ref="B3:C3"/>
    <mergeCell ref="J5:K5"/>
    <mergeCell ref="N5:O5"/>
    <mergeCell ref="B5:C5"/>
    <mergeCell ref="D5:E5"/>
    <mergeCell ref="F5:G5"/>
    <mergeCell ref="H5:I5"/>
    <mergeCell ref="L5:M5"/>
  </mergeCells>
  <printOptions/>
  <pageMargins left="0.69" right="0.34" top="0.46" bottom="0.57" header="0.2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J1">
      <selection activeCell="O29" sqref="O29"/>
    </sheetView>
  </sheetViews>
  <sheetFormatPr defaultColWidth="11.421875" defaultRowHeight="15"/>
  <cols>
    <col min="1" max="1" width="15.57421875" style="1" customWidth="1"/>
    <col min="2" max="2" width="9.140625" style="1" customWidth="1"/>
    <col min="3" max="3" width="12.140625" style="1" customWidth="1"/>
    <col min="4" max="4" width="7.8515625" style="1" customWidth="1"/>
    <col min="5" max="5" width="10.421875" style="1" customWidth="1"/>
    <col min="6" max="6" width="9.28125" style="1" customWidth="1"/>
    <col min="7" max="7" width="12.28125" style="1" customWidth="1"/>
    <col min="8" max="8" width="7.421875" style="1" customWidth="1"/>
    <col min="9" max="9" width="8.7109375" style="1" customWidth="1"/>
    <col min="10" max="10" width="7.57421875" style="1" customWidth="1"/>
    <col min="11" max="11" width="10.140625" style="1" customWidth="1"/>
    <col min="12" max="12" width="7.57421875" style="1" customWidth="1"/>
    <col min="13" max="14" width="9.28125" style="1" customWidth="1"/>
    <col min="15" max="16" width="11.8515625" style="1" customWidth="1"/>
    <col min="17" max="17" width="12.7109375" style="1" customWidth="1"/>
    <col min="18" max="18" width="11.28125" style="1" customWidth="1"/>
    <col min="19" max="16384" width="11.421875" style="1" customWidth="1"/>
  </cols>
  <sheetData>
    <row r="1" spans="14:15" ht="16.5">
      <c r="N1" s="70"/>
      <c r="O1" s="70"/>
    </row>
    <row r="2" spans="1:15" ht="18">
      <c r="A2" s="144" t="s">
        <v>0</v>
      </c>
      <c r="B2" s="169" t="s">
        <v>134</v>
      </c>
      <c r="C2" s="167"/>
      <c r="D2" s="167"/>
      <c r="E2" s="167"/>
      <c r="F2" s="167"/>
      <c r="G2" s="181"/>
      <c r="L2" s="178" t="s">
        <v>23</v>
      </c>
      <c r="M2" s="179"/>
      <c r="N2" s="148">
        <v>40817</v>
      </c>
      <c r="O2" s="71"/>
    </row>
    <row r="3" spans="2:5" ht="16.5" customHeight="1">
      <c r="B3" s="180"/>
      <c r="C3" s="180"/>
      <c r="D3" s="180"/>
      <c r="E3" s="180"/>
    </row>
    <row r="4" spans="15:16" ht="18" thickBot="1">
      <c r="O4" s="72"/>
      <c r="P4" s="63"/>
    </row>
    <row r="5" spans="1:17" ht="17.25">
      <c r="A5" s="25"/>
      <c r="B5" s="176" t="s">
        <v>1</v>
      </c>
      <c r="C5" s="177"/>
      <c r="D5" s="176" t="s">
        <v>2</v>
      </c>
      <c r="E5" s="177"/>
      <c r="F5" s="176" t="s">
        <v>3</v>
      </c>
      <c r="G5" s="177"/>
      <c r="H5" s="73" t="s">
        <v>136</v>
      </c>
      <c r="I5" s="73"/>
      <c r="J5" s="176" t="s">
        <v>32</v>
      </c>
      <c r="K5" s="177"/>
      <c r="L5" s="176" t="s">
        <v>36</v>
      </c>
      <c r="M5" s="177"/>
      <c r="N5" s="176" t="s">
        <v>33</v>
      </c>
      <c r="O5" s="177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4" t="s">
        <v>25</v>
      </c>
      <c r="Q6" s="30" t="s">
        <v>39</v>
      </c>
    </row>
    <row r="7" spans="1:18" ht="17.25">
      <c r="A7" s="31" t="s">
        <v>14</v>
      </c>
      <c r="B7" s="32">
        <v>630220</v>
      </c>
      <c r="C7" s="33">
        <f>1853.86+129283.18+450.28+68726.9+1301.15+202273.14+3+53328.87</f>
        <v>457220.38</v>
      </c>
      <c r="D7" s="66">
        <v>1000</v>
      </c>
      <c r="E7" s="33">
        <v>3504</v>
      </c>
      <c r="F7" s="66">
        <v>864868</v>
      </c>
      <c r="G7" s="33">
        <f>2330.4+11113.72</f>
        <v>13444.119999999999</v>
      </c>
      <c r="H7" s="66">
        <v>0</v>
      </c>
      <c r="I7" s="33">
        <v>0</v>
      </c>
      <c r="J7" s="66">
        <f>2888+100000</f>
        <v>102888</v>
      </c>
      <c r="K7" s="33">
        <f>75.96+8588.83</f>
        <v>8664.789999999999</v>
      </c>
      <c r="L7" s="66">
        <v>0</v>
      </c>
      <c r="M7" s="33">
        <v>0</v>
      </c>
      <c r="N7" s="66">
        <v>300000</v>
      </c>
      <c r="O7" s="33">
        <v>190072.2</v>
      </c>
      <c r="P7" s="34">
        <f>+C7+E7+G7+K7+O7+I7</f>
        <v>672905.49</v>
      </c>
      <c r="Q7" s="34">
        <f aca="true" t="shared" si="0" ref="Q7:Q13">+B7+D7+F7+J7+N7+H7-P7</f>
        <v>1226070.51</v>
      </c>
      <c r="R7" s="156"/>
    </row>
    <row r="8" spans="1:18" ht="17.25">
      <c r="A8" s="31" t="s">
        <v>6</v>
      </c>
      <c r="B8" s="32">
        <v>491458</v>
      </c>
      <c r="C8" s="33">
        <f>2173.74+285452.15+191.67+91387.9</f>
        <v>379205.45999999996</v>
      </c>
      <c r="D8" s="66">
        <v>5184</v>
      </c>
      <c r="E8" s="33">
        <f>195+3760.74+25</f>
        <v>3980.74</v>
      </c>
      <c r="F8" s="66">
        <v>98042</v>
      </c>
      <c r="G8" s="33">
        <f>3520+1226608.81+2130.31</f>
        <v>1232259.12</v>
      </c>
      <c r="H8" s="66">
        <v>0</v>
      </c>
      <c r="I8" s="33">
        <v>0</v>
      </c>
      <c r="J8" s="66">
        <v>3860</v>
      </c>
      <c r="K8" s="33">
        <v>2190</v>
      </c>
      <c r="L8" s="66">
        <v>0</v>
      </c>
      <c r="M8" s="33">
        <v>0</v>
      </c>
      <c r="N8" s="66">
        <v>0</v>
      </c>
      <c r="O8" s="33">
        <v>12295.71</v>
      </c>
      <c r="P8" s="34">
        <f>+C8+E8+G8+K8+O8+I8</f>
        <v>1629931.03</v>
      </c>
      <c r="Q8" s="34">
        <f t="shared" si="0"/>
        <v>-1031387.03</v>
      </c>
      <c r="R8" s="5"/>
    </row>
    <row r="9" spans="1:17" ht="17.25">
      <c r="A9" s="31" t="s">
        <v>103</v>
      </c>
      <c r="B9" s="32">
        <v>1202609</v>
      </c>
      <c r="C9" s="33">
        <f>1566.65+637647.02+477.02+165755.83+387.52+46712.45+1175.77+136171.48</f>
        <v>989893.74</v>
      </c>
      <c r="D9" s="66">
        <v>10000</v>
      </c>
      <c r="E9" s="33">
        <f>1609.45+21371.3</f>
        <v>22980.75</v>
      </c>
      <c r="F9" s="66">
        <v>23051</v>
      </c>
      <c r="G9" s="33">
        <f>2100.98+32179.13</f>
        <v>34280.11</v>
      </c>
      <c r="H9" s="66">
        <v>0</v>
      </c>
      <c r="I9" s="33">
        <v>0</v>
      </c>
      <c r="J9" s="66">
        <v>3860</v>
      </c>
      <c r="K9" s="33">
        <f>169+42300.72</f>
        <v>42469.72</v>
      </c>
      <c r="L9" s="66">
        <v>0</v>
      </c>
      <c r="M9" s="33">
        <v>0</v>
      </c>
      <c r="N9" s="66">
        <v>0</v>
      </c>
      <c r="O9" s="33">
        <v>31148.28</v>
      </c>
      <c r="P9" s="34">
        <f>+C9+E9+G9+K9+O9+I9</f>
        <v>1120772.6</v>
      </c>
      <c r="Q9" s="34">
        <f t="shared" si="0"/>
        <v>118747.3999999999</v>
      </c>
    </row>
    <row r="10" spans="1:17" ht="17.25">
      <c r="A10" s="31" t="s">
        <v>7</v>
      </c>
      <c r="B10" s="32">
        <v>418253</v>
      </c>
      <c r="C10" s="33">
        <f>1485.49+280896.75+3+29432.52</f>
        <v>311817.76</v>
      </c>
      <c r="D10" s="66">
        <v>10400</v>
      </c>
      <c r="E10" s="33">
        <f>10630.36+48495.7</f>
        <v>59126.06</v>
      </c>
      <c r="F10" s="66">
        <v>9500</v>
      </c>
      <c r="G10" s="33">
        <v>2885.05</v>
      </c>
      <c r="H10" s="66">
        <v>0</v>
      </c>
      <c r="I10" s="33">
        <v>0</v>
      </c>
      <c r="J10" s="66">
        <v>13740</v>
      </c>
      <c r="K10" s="33">
        <v>20883.65</v>
      </c>
      <c r="L10" s="66">
        <v>0</v>
      </c>
      <c r="M10" s="33">
        <v>0</v>
      </c>
      <c r="N10" s="66">
        <v>0</v>
      </c>
      <c r="O10" s="33">
        <v>11440.79</v>
      </c>
      <c r="P10" s="34">
        <f>+C10+E10+G10+K10+O10+I10+M10</f>
        <v>406153.31</v>
      </c>
      <c r="Q10" s="34">
        <f t="shared" si="0"/>
        <v>45739.69</v>
      </c>
    </row>
    <row r="11" spans="1:19" ht="17.25">
      <c r="A11" s="31" t="s">
        <v>9</v>
      </c>
      <c r="B11" s="32">
        <v>808844</v>
      </c>
      <c r="C11" s="33">
        <f>3351.29+712942.05</f>
        <v>716293.3400000001</v>
      </c>
      <c r="D11" s="66">
        <v>4100</v>
      </c>
      <c r="E11" s="33">
        <f>768+10484.87</f>
        <v>11252.87</v>
      </c>
      <c r="F11" s="66">
        <v>199629</v>
      </c>
      <c r="G11" s="33">
        <f>1922.66+301226.01</f>
        <v>303148.67</v>
      </c>
      <c r="H11" s="66">
        <v>0</v>
      </c>
      <c r="I11" s="33">
        <v>0</v>
      </c>
      <c r="J11" s="66">
        <v>3860</v>
      </c>
      <c r="K11" s="33">
        <v>8515.85</v>
      </c>
      <c r="L11" s="66">
        <v>0</v>
      </c>
      <c r="M11" s="33">
        <v>0</v>
      </c>
      <c r="N11" s="66">
        <v>0</v>
      </c>
      <c r="O11" s="33">
        <v>32477.36</v>
      </c>
      <c r="P11" s="34">
        <f>+C11+E11+G11+K11+O11+I11</f>
        <v>1071688.09</v>
      </c>
      <c r="Q11" s="34">
        <f t="shared" si="0"/>
        <v>-55255.090000000084</v>
      </c>
      <c r="S11" s="5"/>
    </row>
    <row r="12" spans="1:17" ht="17.25">
      <c r="A12" s="31" t="s">
        <v>8</v>
      </c>
      <c r="B12" s="32">
        <v>910276</v>
      </c>
      <c r="C12" s="33">
        <f>15897.6+600090.8+16.6+50398.24+690.09+72373.4</f>
        <v>739466.73</v>
      </c>
      <c r="D12" s="66">
        <v>677834</v>
      </c>
      <c r="E12" s="33">
        <f>181715.3+455624.61</f>
        <v>637339.9099999999</v>
      </c>
      <c r="F12" s="66">
        <v>21260</v>
      </c>
      <c r="G12" s="33">
        <f>1723.94+14878.45</f>
        <v>16602.39</v>
      </c>
      <c r="H12" s="66">
        <v>0</v>
      </c>
      <c r="I12" s="33">
        <v>714.56</v>
      </c>
      <c r="J12" s="66">
        <v>37058</v>
      </c>
      <c r="K12" s="33">
        <v>79936.12</v>
      </c>
      <c r="L12" s="66">
        <v>0</v>
      </c>
      <c r="M12" s="33">
        <v>1857.55</v>
      </c>
      <c r="N12" s="66">
        <v>0</v>
      </c>
      <c r="O12" s="33">
        <v>71531.2</v>
      </c>
      <c r="P12" s="34">
        <f>+C12+E12+G12+K12+O12+I12+M12</f>
        <v>1547448.46</v>
      </c>
      <c r="Q12" s="34">
        <f t="shared" si="0"/>
        <v>98979.54000000004</v>
      </c>
    </row>
    <row r="13" spans="1:17" ht="17.25">
      <c r="A13" s="31" t="s">
        <v>10</v>
      </c>
      <c r="B13" s="32">
        <v>193868</v>
      </c>
      <c r="C13" s="33">
        <f>676.34+151959.8</f>
        <v>152636.13999999998</v>
      </c>
      <c r="D13" s="66">
        <v>0</v>
      </c>
      <c r="E13" s="33">
        <v>0</v>
      </c>
      <c r="F13" s="66">
        <v>2430</v>
      </c>
      <c r="G13" s="33">
        <f>185.92+7948.93</f>
        <v>8134.85</v>
      </c>
      <c r="H13" s="66">
        <v>0</v>
      </c>
      <c r="I13" s="33">
        <v>0</v>
      </c>
      <c r="J13" s="66">
        <v>0</v>
      </c>
      <c r="K13" s="33">
        <v>153.17</v>
      </c>
      <c r="L13" s="66">
        <v>0</v>
      </c>
      <c r="M13" s="33">
        <v>0</v>
      </c>
      <c r="N13" s="66">
        <v>0</v>
      </c>
      <c r="O13" s="33">
        <v>4764.33</v>
      </c>
      <c r="P13" s="34">
        <f>+C13+E13+G13+K13+O13+I13</f>
        <v>165688.49</v>
      </c>
      <c r="Q13" s="34">
        <f t="shared" si="0"/>
        <v>30609.51000000001</v>
      </c>
    </row>
    <row r="14" spans="1:18" ht="18" thickBot="1">
      <c r="A14" s="38" t="s">
        <v>11</v>
      </c>
      <c r="B14" s="39">
        <f aca="true" t="shared" si="1" ref="B14:Q14">SUM(B7:B13)</f>
        <v>4655528</v>
      </c>
      <c r="C14" s="40">
        <f t="shared" si="1"/>
        <v>3746533.55</v>
      </c>
      <c r="D14" s="39">
        <f>SUM(D7:D13)</f>
        <v>708518</v>
      </c>
      <c r="E14" s="40">
        <f t="shared" si="1"/>
        <v>738184.3299999998</v>
      </c>
      <c r="F14" s="75">
        <f t="shared" si="1"/>
        <v>1218780</v>
      </c>
      <c r="G14" s="40">
        <f t="shared" si="1"/>
        <v>1610754.3100000003</v>
      </c>
      <c r="H14" s="75">
        <f t="shared" si="1"/>
        <v>0</v>
      </c>
      <c r="I14" s="40">
        <f t="shared" si="1"/>
        <v>714.56</v>
      </c>
      <c r="J14" s="39">
        <f t="shared" si="1"/>
        <v>165266</v>
      </c>
      <c r="K14" s="40">
        <f t="shared" si="1"/>
        <v>162813.30000000002</v>
      </c>
      <c r="L14" s="39">
        <f>SUM(L7:L13)</f>
        <v>0</v>
      </c>
      <c r="M14" s="40">
        <f>SUM(M7:M13)</f>
        <v>1857.55</v>
      </c>
      <c r="N14" s="39">
        <f t="shared" si="1"/>
        <v>300000</v>
      </c>
      <c r="O14" s="40">
        <f t="shared" si="1"/>
        <v>353729.87000000005</v>
      </c>
      <c r="P14" s="42">
        <f t="shared" si="1"/>
        <v>6614587.470000001</v>
      </c>
      <c r="Q14" s="42">
        <f t="shared" si="1"/>
        <v>433504.52999999985</v>
      </c>
      <c r="R14" s="50"/>
    </row>
    <row r="15" spans="1:17" ht="17.25" thickBot="1">
      <c r="A15" s="43" t="s">
        <v>30</v>
      </c>
      <c r="B15" s="44"/>
      <c r="C15" s="137">
        <f>+C14/B14</f>
        <v>0.8047494398057534</v>
      </c>
      <c r="D15" s="137"/>
      <c r="E15" s="137">
        <f>+E14/D14</f>
        <v>1.041870961641059</v>
      </c>
      <c r="F15" s="137"/>
      <c r="G15" s="137">
        <f>+G14/F14</f>
        <v>1.32161203006285</v>
      </c>
      <c r="H15" s="45"/>
      <c r="I15" s="45"/>
      <c r="J15" s="45"/>
      <c r="K15" s="137">
        <f>+K14/J14</f>
        <v>0.9851590768821175</v>
      </c>
      <c r="L15" s="47"/>
      <c r="M15" s="47"/>
      <c r="N15" s="47"/>
      <c r="O15" s="139">
        <f>+O14/N14</f>
        <v>1.1790995666666668</v>
      </c>
      <c r="P15" s="56"/>
      <c r="Q15" s="5"/>
    </row>
    <row r="16" spans="1:17" ht="16.5">
      <c r="A16" s="49"/>
      <c r="B16" s="49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38"/>
      <c r="Q16" s="5"/>
    </row>
    <row r="17" ht="16.5">
      <c r="P17" s="50"/>
    </row>
    <row r="39" spans="1:6" ht="16.5">
      <c r="A39" s="51"/>
      <c r="B39" s="51"/>
      <c r="C39" s="51"/>
      <c r="D39" s="51"/>
      <c r="E39" s="51"/>
      <c r="F39" s="51"/>
    </row>
    <row r="41" spans="3:6" ht="16.5">
      <c r="C41" s="50"/>
      <c r="D41" s="5"/>
      <c r="E41" s="51"/>
      <c r="F41" s="51"/>
    </row>
    <row r="42" spans="3:6" ht="16.5">
      <c r="C42" s="50"/>
      <c r="D42" s="5"/>
      <c r="E42" s="51"/>
      <c r="F42" s="51"/>
    </row>
    <row r="43" spans="3:6" ht="16.5">
      <c r="C43" s="50"/>
      <c r="D43" s="5"/>
      <c r="E43" s="51"/>
      <c r="F43" s="51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6" spans="3:6" ht="16.5">
      <c r="C46" s="50"/>
      <c r="D46" s="5"/>
      <c r="E46" s="51"/>
      <c r="F46" s="51"/>
    </row>
    <row r="48" spans="1:4" ht="16.5">
      <c r="A48" s="60" t="s">
        <v>26</v>
      </c>
      <c r="B48" s="60" t="s">
        <v>27</v>
      </c>
      <c r="C48" s="60" t="s">
        <v>28</v>
      </c>
      <c r="D48" s="5"/>
    </row>
    <row r="49" spans="1:3" ht="16.5">
      <c r="A49" s="1">
        <f>+B14</f>
        <v>4655528</v>
      </c>
      <c r="B49" s="50">
        <f>+C14</f>
        <v>3746533.55</v>
      </c>
      <c r="C49" s="60" t="s">
        <v>1</v>
      </c>
    </row>
    <row r="50" spans="1:3" ht="16.5">
      <c r="A50" s="1">
        <f>+D14</f>
        <v>708518</v>
      </c>
      <c r="B50" s="50">
        <f>+E14</f>
        <v>738184.3299999998</v>
      </c>
      <c r="C50" s="60" t="s">
        <v>2</v>
      </c>
    </row>
    <row r="51" spans="1:3" ht="16.5">
      <c r="A51" s="1">
        <f>+F14</f>
        <v>1218780</v>
      </c>
      <c r="B51" s="50">
        <f>+G14</f>
        <v>1610754.3100000003</v>
      </c>
      <c r="C51" s="60" t="s">
        <v>3</v>
      </c>
    </row>
    <row r="52" spans="1:3" ht="16.5">
      <c r="A52" s="76">
        <f>+H14</f>
        <v>0</v>
      </c>
      <c r="B52" s="50">
        <f>+I14</f>
        <v>714.56</v>
      </c>
      <c r="C52" s="60" t="s">
        <v>34</v>
      </c>
    </row>
    <row r="53" spans="1:3" ht="16.5">
      <c r="A53" s="1">
        <f>+J14</f>
        <v>165266</v>
      </c>
      <c r="B53" s="5">
        <f>+K14</f>
        <v>162813.30000000002</v>
      </c>
      <c r="C53" s="60" t="s">
        <v>32</v>
      </c>
    </row>
    <row r="54" spans="1:3" ht="16.5">
      <c r="A54" s="1">
        <v>0</v>
      </c>
      <c r="B54" s="5">
        <f>+M14</f>
        <v>1857.55</v>
      </c>
      <c r="C54" s="60" t="s">
        <v>104</v>
      </c>
    </row>
    <row r="55" spans="1:3" ht="17.25">
      <c r="A55" s="1">
        <f>+N14</f>
        <v>300000</v>
      </c>
      <c r="B55" s="63">
        <f>+O14</f>
        <v>353729.87000000005</v>
      </c>
      <c r="C55" s="60" t="s">
        <v>35</v>
      </c>
    </row>
    <row r="56" ht="16.5">
      <c r="C56" s="61"/>
    </row>
    <row r="57" spans="1:3" ht="17.25">
      <c r="A57" s="1">
        <v>2487582</v>
      </c>
      <c r="B57" s="63">
        <v>786542.11</v>
      </c>
      <c r="C57" s="61"/>
    </row>
    <row r="58" ht="16.5">
      <c r="C58" s="61"/>
    </row>
    <row r="59" ht="16.5">
      <c r="C59" s="61"/>
    </row>
    <row r="60" ht="16.5">
      <c r="C60" s="61"/>
    </row>
    <row r="61" ht="16.5">
      <c r="C61" s="61"/>
    </row>
    <row r="62" ht="16.5">
      <c r="C62" s="61"/>
    </row>
    <row r="63" ht="16.5">
      <c r="C63" s="61"/>
    </row>
  </sheetData>
  <mergeCells count="9">
    <mergeCell ref="L2:M2"/>
    <mergeCell ref="B3:E3"/>
    <mergeCell ref="J5:K5"/>
    <mergeCell ref="B2:G2"/>
    <mergeCell ref="N5:O5"/>
    <mergeCell ref="B5:C5"/>
    <mergeCell ref="D5:E5"/>
    <mergeCell ref="F5:G5"/>
    <mergeCell ref="L5:M5"/>
  </mergeCells>
  <printOptions/>
  <pageMargins left="0.84" right="0.63" top="0.78" bottom="0.5" header="0.42" footer="0"/>
  <pageSetup horizontalDpi="600" verticalDpi="600" orientation="landscape" paperSize="5" r:id="rId2"/>
  <headerFooter alignWithMargins="0">
    <oddHeader>&amp;R&amp;"Palatino Linotype,Normal"&amp;10CONTADURIA MUNICIPA&amp;"Gill Sans MT Shadow,Normal"L</oddHeader>
    <oddFooter>&amp;L&amp;"Gill Sans MT Shadow,Regular"&amp;8&amp;D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6"/>
  <sheetViews>
    <sheetView workbookViewId="0" topLeftCell="A1">
      <selection activeCell="P15" sqref="P15"/>
    </sheetView>
  </sheetViews>
  <sheetFormatPr defaultColWidth="11.421875" defaultRowHeight="15"/>
  <cols>
    <col min="1" max="1" width="17.140625" style="1" customWidth="1"/>
    <col min="2" max="2" width="10.140625" style="1" customWidth="1"/>
    <col min="3" max="3" width="12.421875" style="1" customWidth="1"/>
    <col min="4" max="4" width="7.7109375" style="1" customWidth="1"/>
    <col min="5" max="5" width="10.8515625" style="1" customWidth="1"/>
    <col min="6" max="6" width="9.140625" style="1" customWidth="1"/>
    <col min="7" max="7" width="11.8515625" style="1" customWidth="1"/>
    <col min="8" max="8" width="10.140625" style="1" customWidth="1"/>
    <col min="9" max="9" width="12.28125" style="1" customWidth="1"/>
    <col min="10" max="10" width="7.00390625" style="1" customWidth="1"/>
    <col min="11" max="11" width="9.28125" style="1" customWidth="1"/>
    <col min="12" max="12" width="7.57421875" style="1" customWidth="1"/>
    <col min="13" max="13" width="9.421875" style="1" customWidth="1"/>
    <col min="14" max="14" width="7.7109375" style="1" customWidth="1"/>
    <col min="15" max="15" width="10.140625" style="1" customWidth="1"/>
    <col min="16" max="16" width="13.140625" style="1" customWidth="1"/>
    <col min="17" max="17" width="12.8515625" style="1" customWidth="1"/>
    <col min="18" max="18" width="13.8515625" style="1" bestFit="1" customWidth="1"/>
    <col min="19" max="16384" width="11.421875" style="1" customWidth="1"/>
  </cols>
  <sheetData>
    <row r="2" spans="1:15" ht="18">
      <c r="A2" s="144" t="s">
        <v>0</v>
      </c>
      <c r="B2" s="169" t="s">
        <v>109</v>
      </c>
      <c r="C2" s="169"/>
      <c r="D2" s="182"/>
      <c r="E2" s="182"/>
      <c r="F2" s="181"/>
      <c r="I2" s="178" t="s">
        <v>23</v>
      </c>
      <c r="J2" s="178"/>
      <c r="K2" s="148">
        <v>40817</v>
      </c>
      <c r="L2" s="120"/>
      <c r="M2" s="120"/>
      <c r="N2" s="121"/>
      <c r="O2" s="54"/>
    </row>
    <row r="3" spans="2:4" ht="16.5">
      <c r="B3" s="183"/>
      <c r="C3" s="183"/>
      <c r="D3" s="65"/>
    </row>
    <row r="4" ht="17.25" thickBot="1">
      <c r="H4" s="76"/>
    </row>
    <row r="5" spans="1:17" ht="17.25">
      <c r="A5" s="25"/>
      <c r="B5" s="176" t="s">
        <v>1</v>
      </c>
      <c r="C5" s="177"/>
      <c r="D5" s="176" t="s">
        <v>2</v>
      </c>
      <c r="E5" s="177"/>
      <c r="F5" s="176" t="s">
        <v>3</v>
      </c>
      <c r="G5" s="177"/>
      <c r="H5" s="176" t="s">
        <v>4</v>
      </c>
      <c r="I5" s="177"/>
      <c r="J5" s="176" t="s">
        <v>32</v>
      </c>
      <c r="K5" s="177"/>
      <c r="L5" s="176" t="s">
        <v>36</v>
      </c>
      <c r="M5" s="177"/>
      <c r="N5" s="176" t="s">
        <v>33</v>
      </c>
      <c r="O5" s="177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4" t="s">
        <v>25</v>
      </c>
      <c r="Q6" s="30" t="s">
        <v>39</v>
      </c>
    </row>
    <row r="7" spans="1:18" ht="17.25">
      <c r="A7" s="31" t="s">
        <v>14</v>
      </c>
      <c r="B7" s="32">
        <f>1251588+3000000</f>
        <v>4251588</v>
      </c>
      <c r="C7" s="33">
        <f>14861.99+860183.46+1859.56+86774.17</f>
        <v>963679.18</v>
      </c>
      <c r="D7" s="32">
        <v>100726</v>
      </c>
      <c r="E7" s="33">
        <f>47586.45+35778.95</f>
        <v>83365.4</v>
      </c>
      <c r="F7" s="32">
        <f>346006+300000</f>
        <v>646006</v>
      </c>
      <c r="G7" s="33">
        <f>67101.66+762171.81+3302.6</f>
        <v>832576.0700000001</v>
      </c>
      <c r="H7" s="32">
        <f>1602993+100000+200000+1300000+750000+850000+2500000</f>
        <v>7302993</v>
      </c>
      <c r="I7" s="33">
        <f>448070.32+2285499.24+5600</f>
        <v>2739169.56</v>
      </c>
      <c r="J7" s="32">
        <f>400+25000+26000</f>
        <v>51400</v>
      </c>
      <c r="K7" s="33">
        <f>99.29+35445.46</f>
        <v>35544.75</v>
      </c>
      <c r="L7" s="32">
        <v>0</v>
      </c>
      <c r="M7" s="37">
        <v>11376.57</v>
      </c>
      <c r="N7" s="32">
        <v>400000</v>
      </c>
      <c r="O7" s="33">
        <v>390327.72</v>
      </c>
      <c r="P7" s="34">
        <f aca="true" t="shared" si="0" ref="P7:P12">+C7+E7+G7+I7+K7+O7+M7</f>
        <v>5056039.25</v>
      </c>
      <c r="Q7" s="34">
        <f aca="true" t="shared" si="1" ref="Q7:Q12">+B7+D7+F7+H7+J7+N7-P7</f>
        <v>7696673.75</v>
      </c>
      <c r="R7" s="161"/>
    </row>
    <row r="8" spans="1:18" ht="17.25">
      <c r="A8" s="31" t="s">
        <v>74</v>
      </c>
      <c r="B8" s="32">
        <v>328024</v>
      </c>
      <c r="C8" s="33">
        <f>576.89+265119.2+3+21395.6</f>
        <v>287094.69</v>
      </c>
      <c r="D8" s="32">
        <v>18800</v>
      </c>
      <c r="E8" s="33">
        <f>122.88+15594.03</f>
        <v>15716.91</v>
      </c>
      <c r="F8" s="32">
        <v>341466</v>
      </c>
      <c r="G8" s="33">
        <f>30941.7+660436.03</f>
        <v>691377.73</v>
      </c>
      <c r="H8" s="32">
        <v>1016600</v>
      </c>
      <c r="I8" s="33">
        <f>270657.68+3206248.13</f>
        <v>3476905.81</v>
      </c>
      <c r="J8" s="32">
        <v>0</v>
      </c>
      <c r="K8" s="33">
        <f>3178+1526.75</f>
        <v>4704.75</v>
      </c>
      <c r="L8" s="32">
        <v>0</v>
      </c>
      <c r="M8" s="37">
        <f>2450+3441.35</f>
        <v>5891.35</v>
      </c>
      <c r="N8" s="32">
        <v>0</v>
      </c>
      <c r="O8" s="33">
        <v>23535.97</v>
      </c>
      <c r="P8" s="34">
        <f t="shared" si="0"/>
        <v>4505227.209999999</v>
      </c>
      <c r="Q8" s="34">
        <f t="shared" si="1"/>
        <v>-2800337.209999999</v>
      </c>
      <c r="R8" s="5"/>
    </row>
    <row r="9" spans="1:18" ht="17.25">
      <c r="A9" s="31" t="s">
        <v>81</v>
      </c>
      <c r="B9" s="32">
        <v>3403691</v>
      </c>
      <c r="C9" s="33">
        <f>30290.86+2474842.45</f>
        <v>2505133.31</v>
      </c>
      <c r="D9" s="32">
        <v>31998</v>
      </c>
      <c r="E9" s="33">
        <f>6681.96+9624.75</f>
        <v>16306.71</v>
      </c>
      <c r="F9" s="32">
        <f>626358-200000</f>
        <v>426358</v>
      </c>
      <c r="G9" s="33">
        <f>55858.39+480023.65</f>
        <v>535882.04</v>
      </c>
      <c r="H9" s="32">
        <v>889767</v>
      </c>
      <c r="I9" s="33">
        <f>52608.9+1190204.35</f>
        <v>1242813.25</v>
      </c>
      <c r="J9" s="32">
        <v>0</v>
      </c>
      <c r="K9" s="33">
        <f>99.29+353.98</f>
        <v>453.27000000000004</v>
      </c>
      <c r="L9" s="32">
        <v>0</v>
      </c>
      <c r="M9" s="37">
        <f>3706.52+3361</f>
        <v>7067.52</v>
      </c>
      <c r="N9" s="32">
        <v>0</v>
      </c>
      <c r="O9" s="33">
        <v>78525.41</v>
      </c>
      <c r="P9" s="34">
        <f t="shared" si="0"/>
        <v>4386181.51</v>
      </c>
      <c r="Q9" s="34">
        <f t="shared" si="1"/>
        <v>365632.4900000002</v>
      </c>
      <c r="R9" s="5"/>
    </row>
    <row r="10" spans="1:18" ht="17.25">
      <c r="A10" s="31" t="s">
        <v>128</v>
      </c>
      <c r="B10" s="32">
        <v>2732695</v>
      </c>
      <c r="C10" s="33">
        <f>41449.79+2716442.43</f>
        <v>2757892.22</v>
      </c>
      <c r="D10" s="32">
        <v>13959</v>
      </c>
      <c r="E10" s="33">
        <v>7834.57</v>
      </c>
      <c r="F10" s="32">
        <v>377643</v>
      </c>
      <c r="G10" s="33">
        <f>56435.2+312221.56</f>
        <v>368656.76</v>
      </c>
      <c r="H10" s="32">
        <v>0</v>
      </c>
      <c r="I10" s="33">
        <v>849.79</v>
      </c>
      <c r="J10" s="32">
        <v>2500</v>
      </c>
      <c r="K10" s="33">
        <v>109</v>
      </c>
      <c r="L10" s="32">
        <v>0</v>
      </c>
      <c r="M10" s="37">
        <v>0</v>
      </c>
      <c r="N10" s="32">
        <v>0</v>
      </c>
      <c r="O10" s="33">
        <v>63026.11</v>
      </c>
      <c r="P10" s="34">
        <f t="shared" si="0"/>
        <v>3198368.4499999997</v>
      </c>
      <c r="Q10" s="34">
        <f t="shared" si="1"/>
        <v>-71571.44999999972</v>
      </c>
      <c r="R10" s="5"/>
    </row>
    <row r="11" spans="1:18" ht="17.25">
      <c r="A11" s="31" t="s">
        <v>110</v>
      </c>
      <c r="B11" s="32">
        <v>888624</v>
      </c>
      <c r="C11" s="33">
        <f>12229.62+752537.64</f>
        <v>764767.26</v>
      </c>
      <c r="D11" s="32">
        <v>36127</v>
      </c>
      <c r="E11" s="33">
        <f>20964.6+18340.64</f>
        <v>39305.24</v>
      </c>
      <c r="F11" s="32">
        <v>232240</v>
      </c>
      <c r="G11" s="33">
        <f>27112.8+225462.08</f>
        <v>252574.87999999998</v>
      </c>
      <c r="H11" s="32">
        <f>712421+300000</f>
        <v>1012421</v>
      </c>
      <c r="I11" s="33">
        <f>62358.81+573205.65</f>
        <v>635564.46</v>
      </c>
      <c r="J11" s="32">
        <v>4789</v>
      </c>
      <c r="K11" s="33">
        <v>15962.17</v>
      </c>
      <c r="L11" s="32">
        <v>0</v>
      </c>
      <c r="M11" s="37">
        <v>1752</v>
      </c>
      <c r="N11" s="32">
        <v>0</v>
      </c>
      <c r="O11" s="33">
        <v>102681.08</v>
      </c>
      <c r="P11" s="34">
        <f t="shared" si="0"/>
        <v>1812607.0899999999</v>
      </c>
      <c r="Q11" s="34">
        <f t="shared" si="1"/>
        <v>361593.91000000015</v>
      </c>
      <c r="R11" s="5"/>
    </row>
    <row r="12" spans="1:18" ht="17.25" hidden="1">
      <c r="A12" s="31" t="s">
        <v>75</v>
      </c>
      <c r="B12" s="32"/>
      <c r="C12" s="33"/>
      <c r="D12" s="32"/>
      <c r="E12" s="33"/>
      <c r="F12" s="32"/>
      <c r="G12" s="33"/>
      <c r="H12" s="32"/>
      <c r="I12" s="33"/>
      <c r="J12" s="32"/>
      <c r="K12" s="33"/>
      <c r="L12" s="32"/>
      <c r="M12" s="37"/>
      <c r="N12" s="32">
        <v>0</v>
      </c>
      <c r="O12" s="33"/>
      <c r="P12" s="34">
        <f t="shared" si="0"/>
        <v>0</v>
      </c>
      <c r="Q12" s="34">
        <f t="shared" si="1"/>
        <v>0</v>
      </c>
      <c r="R12" s="5"/>
    </row>
    <row r="13" spans="1:18" ht="18" thickBot="1">
      <c r="A13" s="38" t="s">
        <v>11</v>
      </c>
      <c r="B13" s="39">
        <f aca="true" t="shared" si="2" ref="B13:Q13">SUM(B7:B12)</f>
        <v>11604622</v>
      </c>
      <c r="C13" s="40">
        <f t="shared" si="2"/>
        <v>7278566.66</v>
      </c>
      <c r="D13" s="39">
        <f t="shared" si="2"/>
        <v>201610</v>
      </c>
      <c r="E13" s="40">
        <f t="shared" si="2"/>
        <v>162528.83</v>
      </c>
      <c r="F13" s="39">
        <f t="shared" si="2"/>
        <v>2023713</v>
      </c>
      <c r="G13" s="40">
        <f t="shared" si="2"/>
        <v>2681067.48</v>
      </c>
      <c r="H13" s="39">
        <f t="shared" si="2"/>
        <v>10221781</v>
      </c>
      <c r="I13" s="40">
        <f t="shared" si="2"/>
        <v>8095302.87</v>
      </c>
      <c r="J13" s="39">
        <f t="shared" si="2"/>
        <v>58689</v>
      </c>
      <c r="K13" s="40">
        <f>SUM(K7:K12)</f>
        <v>56773.939999999995</v>
      </c>
      <c r="L13" s="39">
        <f>SUM(L7:L12)</f>
        <v>0</v>
      </c>
      <c r="M13" s="40">
        <f>SUM(M7:M12)</f>
        <v>26087.44</v>
      </c>
      <c r="N13" s="39">
        <f t="shared" si="2"/>
        <v>400000</v>
      </c>
      <c r="O13" s="40">
        <f>SUM(O7:O12)</f>
        <v>658096.2899999999</v>
      </c>
      <c r="P13" s="42">
        <f t="shared" si="2"/>
        <v>18958423.509999998</v>
      </c>
      <c r="Q13" s="42">
        <f t="shared" si="2"/>
        <v>5551991.490000002</v>
      </c>
      <c r="R13" s="5"/>
    </row>
    <row r="14" spans="1:17" ht="17.25" thickBot="1">
      <c r="A14" s="43" t="s">
        <v>30</v>
      </c>
      <c r="B14" s="44"/>
      <c r="C14" s="137">
        <f>+C13/B13</f>
        <v>0.6272127312720742</v>
      </c>
      <c r="D14" s="45"/>
      <c r="E14" s="137">
        <f>+E13/D13</f>
        <v>0.8061546054263181</v>
      </c>
      <c r="F14" s="45"/>
      <c r="G14" s="137">
        <f>+G13/F13</f>
        <v>1.3248259412278323</v>
      </c>
      <c r="H14" s="45"/>
      <c r="I14" s="137">
        <f>+I13/H13</f>
        <v>0.7919659861622941</v>
      </c>
      <c r="J14" s="45"/>
      <c r="K14" s="137">
        <f>+K13/J13</f>
        <v>0.9673693537119391</v>
      </c>
      <c r="L14" s="47"/>
      <c r="M14" s="47"/>
      <c r="N14" s="45"/>
      <c r="O14" s="139">
        <f>+O13/N13</f>
        <v>1.6452407249999998</v>
      </c>
      <c r="P14" s="56"/>
      <c r="Q14" s="5"/>
    </row>
    <row r="15" spans="1:16" ht="16.5">
      <c r="A15" s="49"/>
      <c r="B15" s="49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138"/>
    </row>
    <row r="16" ht="16.5">
      <c r="P16" s="5"/>
    </row>
    <row r="32" spans="5:8" ht="16.5">
      <c r="E32" s="57"/>
      <c r="F32" s="57"/>
      <c r="G32" s="58"/>
      <c r="H32" s="58"/>
    </row>
    <row r="33" spans="5:8" ht="16.5">
      <c r="E33" s="59"/>
      <c r="F33" s="59"/>
      <c r="G33" s="59"/>
      <c r="H33" s="59"/>
    </row>
    <row r="38" spans="1:6" ht="16.5">
      <c r="A38" s="51"/>
      <c r="B38" s="51"/>
      <c r="C38" s="51"/>
      <c r="D38" s="51"/>
      <c r="E38" s="51"/>
      <c r="F38" s="51"/>
    </row>
    <row r="39" ht="16.5">
      <c r="C39" s="48"/>
    </row>
    <row r="40" spans="3:6" ht="16.5">
      <c r="C40" s="50"/>
      <c r="D40" s="5"/>
      <c r="E40" s="51"/>
      <c r="F40" s="51"/>
    </row>
    <row r="41" spans="3:6" ht="16.5">
      <c r="C41" s="50"/>
      <c r="D41" s="5"/>
      <c r="E41" s="51"/>
      <c r="F41" s="51"/>
    </row>
    <row r="42" spans="3:6" ht="16.5">
      <c r="C42" s="50"/>
      <c r="D42" s="5"/>
      <c r="E42" s="51"/>
      <c r="F42" s="51"/>
    </row>
    <row r="43" spans="3:6" ht="16.5">
      <c r="C43" s="50"/>
      <c r="D43" s="5"/>
      <c r="E43" s="51"/>
      <c r="F43" s="51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7" spans="1:5" ht="16.5">
      <c r="A47" s="60" t="s">
        <v>26</v>
      </c>
      <c r="B47" s="60" t="s">
        <v>27</v>
      </c>
      <c r="C47" s="60" t="s">
        <v>28</v>
      </c>
      <c r="D47" s="60"/>
      <c r="E47" s="61"/>
    </row>
    <row r="48" spans="1:3" ht="17.25">
      <c r="A48" s="62">
        <f>+B13</f>
        <v>11604622</v>
      </c>
      <c r="B48" s="63">
        <f>+C13</f>
        <v>7278566.66</v>
      </c>
      <c r="C48" s="60" t="s">
        <v>1</v>
      </c>
    </row>
    <row r="49" spans="1:3" ht="17.25">
      <c r="A49" s="62">
        <f>+D13</f>
        <v>201610</v>
      </c>
      <c r="B49" s="63">
        <f>+E13</f>
        <v>162528.83</v>
      </c>
      <c r="C49" s="60" t="s">
        <v>2</v>
      </c>
    </row>
    <row r="50" spans="1:3" ht="17.25">
      <c r="A50" s="62">
        <f>+F13</f>
        <v>2023713</v>
      </c>
      <c r="B50" s="63">
        <f>+G13</f>
        <v>2681067.48</v>
      </c>
      <c r="C50" s="60" t="s">
        <v>3</v>
      </c>
    </row>
    <row r="51" spans="1:3" ht="17.25">
      <c r="A51" s="62">
        <f>+H13</f>
        <v>10221781</v>
      </c>
      <c r="B51" s="63">
        <f>+I13</f>
        <v>8095302.87</v>
      </c>
      <c r="C51" s="60" t="s">
        <v>34</v>
      </c>
    </row>
    <row r="52" spans="1:3" ht="17.25">
      <c r="A52" s="62">
        <f>+J13</f>
        <v>58689</v>
      </c>
      <c r="B52" s="63">
        <f>+K13</f>
        <v>56773.939999999995</v>
      </c>
      <c r="C52" s="60" t="s">
        <v>32</v>
      </c>
    </row>
    <row r="53" spans="1:3" ht="17.25">
      <c r="A53" s="64">
        <f>+L13</f>
        <v>0</v>
      </c>
      <c r="B53" s="63">
        <f>+M13</f>
        <v>26087.44</v>
      </c>
      <c r="C53" s="60" t="s">
        <v>97</v>
      </c>
    </row>
    <row r="54" spans="1:3" ht="17.25">
      <c r="A54" s="62">
        <f>+N13</f>
        <v>400000</v>
      </c>
      <c r="B54" s="63">
        <f>+O13</f>
        <v>658096.2899999999</v>
      </c>
      <c r="C54" s="60" t="s">
        <v>35</v>
      </c>
    </row>
    <row r="55" spans="1:3" ht="17.25">
      <c r="A55" s="62"/>
      <c r="B55" s="62"/>
      <c r="C55" s="60"/>
    </row>
    <row r="56" spans="1:2" ht="16.5">
      <c r="A56" s="1">
        <v>2809993</v>
      </c>
      <c r="B56" s="5">
        <v>749308.3</v>
      </c>
    </row>
  </sheetData>
  <mergeCells count="10">
    <mergeCell ref="B2:F2"/>
    <mergeCell ref="I2:J2"/>
    <mergeCell ref="B3:C3"/>
    <mergeCell ref="N5:O5"/>
    <mergeCell ref="J5:K5"/>
    <mergeCell ref="B5:C5"/>
    <mergeCell ref="D5:E5"/>
    <mergeCell ref="F5:G5"/>
    <mergeCell ref="H5:I5"/>
    <mergeCell ref="L5:M5"/>
  </mergeCells>
  <printOptions/>
  <pageMargins left="0.62" right="0.37" top="0.94" bottom="0.61" header="0.31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59"/>
  <sheetViews>
    <sheetView workbookViewId="0" topLeftCell="J1">
      <selection activeCell="P14" sqref="P14"/>
    </sheetView>
  </sheetViews>
  <sheetFormatPr defaultColWidth="11.421875" defaultRowHeight="15"/>
  <cols>
    <col min="1" max="1" width="13.421875" style="1" customWidth="1"/>
    <col min="2" max="2" width="9.28125" style="1" customWidth="1"/>
    <col min="3" max="3" width="12.421875" style="1" customWidth="1"/>
    <col min="4" max="4" width="7.8515625" style="1" customWidth="1"/>
    <col min="5" max="5" width="10.57421875" style="1" customWidth="1"/>
    <col min="6" max="6" width="9.00390625" style="1" customWidth="1"/>
    <col min="7" max="7" width="11.8515625" style="1" customWidth="1"/>
    <col min="8" max="8" width="7.57421875" style="1" customWidth="1"/>
    <col min="9" max="9" width="9.57421875" style="1" customWidth="1"/>
    <col min="10" max="10" width="7.8515625" style="1" customWidth="1"/>
    <col min="11" max="11" width="10.421875" style="1" customWidth="1"/>
    <col min="12" max="12" width="10.140625" style="1" customWidth="1"/>
    <col min="13" max="13" width="13.140625" style="1" customWidth="1"/>
    <col min="14" max="14" width="9.140625" style="1" customWidth="1"/>
    <col min="15" max="15" width="10.140625" style="1" customWidth="1"/>
    <col min="16" max="16" width="12.8515625" style="1" customWidth="1"/>
    <col min="17" max="17" width="12.57421875" style="1" customWidth="1"/>
    <col min="18" max="18" width="15.00390625" style="1" bestFit="1" customWidth="1"/>
    <col min="19" max="16384" width="11.421875" style="1" customWidth="1"/>
  </cols>
  <sheetData>
    <row r="2" spans="1:15" ht="18">
      <c r="A2" s="144" t="s">
        <v>0</v>
      </c>
      <c r="B2" s="169" t="s">
        <v>111</v>
      </c>
      <c r="C2" s="185"/>
      <c r="D2" s="185"/>
      <c r="E2" s="174"/>
      <c r="F2" s="174"/>
      <c r="L2" s="178" t="s">
        <v>23</v>
      </c>
      <c r="M2" s="179"/>
      <c r="N2" s="148">
        <v>40817</v>
      </c>
      <c r="O2" s="54"/>
    </row>
    <row r="3" spans="2:4" ht="16.5">
      <c r="B3" s="183"/>
      <c r="C3" s="184"/>
      <c r="D3" s="184"/>
    </row>
    <row r="4" ht="17.25" thickBot="1"/>
    <row r="5" spans="1:17" ht="17.25">
      <c r="A5" s="25"/>
      <c r="B5" s="176" t="s">
        <v>1</v>
      </c>
      <c r="C5" s="177"/>
      <c r="D5" s="176" t="s">
        <v>2</v>
      </c>
      <c r="E5" s="177"/>
      <c r="F5" s="176" t="s">
        <v>3</v>
      </c>
      <c r="G5" s="177"/>
      <c r="H5" s="176" t="s">
        <v>4</v>
      </c>
      <c r="I5" s="177"/>
      <c r="J5" s="176" t="s">
        <v>80</v>
      </c>
      <c r="K5" s="177"/>
      <c r="L5" s="176" t="s">
        <v>36</v>
      </c>
      <c r="M5" s="177"/>
      <c r="N5" s="176" t="s">
        <v>33</v>
      </c>
      <c r="O5" s="177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4" t="s">
        <v>25</v>
      </c>
      <c r="Q6" s="30" t="s">
        <v>39</v>
      </c>
    </row>
    <row r="7" spans="1:18" ht="17.25">
      <c r="A7" s="31" t="s">
        <v>14</v>
      </c>
      <c r="B7" s="32">
        <v>563186</v>
      </c>
      <c r="C7" s="33">
        <f>1475.9+126865.6+404.68+53913.41+408.09+208087.76</f>
        <v>391155.44</v>
      </c>
      <c r="D7" s="32">
        <f>4813+80000+150000</f>
        <v>234813</v>
      </c>
      <c r="E7" s="33">
        <f>869.5+36419.29</f>
        <v>37288.79</v>
      </c>
      <c r="F7" s="32">
        <f>139744+150000</f>
        <v>289744</v>
      </c>
      <c r="G7" s="33">
        <f>37218.86+328956.01+4954.19+43037.7</f>
        <v>414166.76</v>
      </c>
      <c r="H7" s="32">
        <v>120000</v>
      </c>
      <c r="I7" s="37">
        <f>7450+31686</f>
        <v>39136</v>
      </c>
      <c r="J7" s="32">
        <f>6000+54000</f>
        <v>60000</v>
      </c>
      <c r="K7" s="33">
        <f>8.27+1993.83+11814</f>
        <v>13816.1</v>
      </c>
      <c r="L7" s="32">
        <v>2000000</v>
      </c>
      <c r="M7" s="33">
        <f>66149.97+1004463.03</f>
        <v>1070613</v>
      </c>
      <c r="N7" s="32">
        <v>400000</v>
      </c>
      <c r="O7" s="33">
        <v>180833.03</v>
      </c>
      <c r="P7" s="34">
        <f>+O7+M7+K7+G7+E7+C7+I7</f>
        <v>2147009.12</v>
      </c>
      <c r="Q7" s="34">
        <f>+B7+D7+F7+J7+L7+N7-P7+H7</f>
        <v>1520733.88</v>
      </c>
      <c r="R7" s="5"/>
    </row>
    <row r="8" spans="1:18" ht="17.25">
      <c r="A8" s="31" t="s">
        <v>13</v>
      </c>
      <c r="B8" s="32">
        <v>1428732</v>
      </c>
      <c r="C8" s="33">
        <f>1576.3+188174.34+3599.88+518233.03+2226.81+410715.95+271.57+45407.82</f>
        <v>1170205.7000000002</v>
      </c>
      <c r="D8" s="32">
        <v>6825</v>
      </c>
      <c r="E8" s="33">
        <f>3620+13620.81</f>
        <v>17240.809999999998</v>
      </c>
      <c r="F8" s="77">
        <v>51100</v>
      </c>
      <c r="G8" s="78">
        <f>6000+130983.8</f>
        <v>136983.8</v>
      </c>
      <c r="H8" s="79">
        <v>0</v>
      </c>
      <c r="I8" s="80">
        <v>0</v>
      </c>
      <c r="J8" s="77">
        <v>15000</v>
      </c>
      <c r="K8" s="78">
        <v>138187.82</v>
      </c>
      <c r="L8" s="81">
        <v>0</v>
      </c>
      <c r="M8" s="78">
        <f>6707+1160</f>
        <v>7867</v>
      </c>
      <c r="N8" s="81">
        <v>0</v>
      </c>
      <c r="O8" s="78">
        <v>34060.32</v>
      </c>
      <c r="P8" s="34">
        <f>+O8+M8+K8+G8+E8+C8</f>
        <v>1504545.4500000002</v>
      </c>
      <c r="Q8" s="34">
        <f>+B8+D8+F8+J8+L8+N8-P8+H8</f>
        <v>-2888.4500000001863</v>
      </c>
      <c r="R8" s="5"/>
    </row>
    <row r="9" spans="1:18" ht="17.25">
      <c r="A9" s="31" t="s">
        <v>12</v>
      </c>
      <c r="B9" s="32">
        <v>623101</v>
      </c>
      <c r="C9" s="33">
        <f>2794.91+344080.35+2054.82+154956.6+31.8+73915.55</f>
        <v>577834.0299999999</v>
      </c>
      <c r="D9" s="32">
        <v>38923</v>
      </c>
      <c r="E9" s="33">
        <f>3532.9+97105.27</f>
        <v>100638.17</v>
      </c>
      <c r="F9" s="32">
        <v>116939</v>
      </c>
      <c r="G9" s="33">
        <f>4527+59504.95+104.18</f>
        <v>64136.13</v>
      </c>
      <c r="H9" s="32">
        <v>5000</v>
      </c>
      <c r="I9" s="37">
        <v>0</v>
      </c>
      <c r="J9" s="32">
        <f>3000</f>
        <v>3000</v>
      </c>
      <c r="K9" s="33">
        <v>32492.41</v>
      </c>
      <c r="L9" s="32">
        <f>2555699+270000+400000+2380000</f>
        <v>5605699</v>
      </c>
      <c r="M9" s="33">
        <f>101114.3+6155242.77+20870.58+451208.27</f>
        <v>6728435.92</v>
      </c>
      <c r="N9" s="32">
        <v>0</v>
      </c>
      <c r="O9" s="33">
        <v>116634.89</v>
      </c>
      <c r="P9" s="34">
        <f>+O9+M9+K9+G9+E9+C9+I9</f>
        <v>7620171.55</v>
      </c>
      <c r="Q9" s="34">
        <f>+B9+D9+F9+J9+L9+N9-P9+H9</f>
        <v>-1227509.5499999998</v>
      </c>
      <c r="R9" s="5"/>
    </row>
    <row r="10" spans="1:18" ht="17.25">
      <c r="A10" s="31" t="s">
        <v>79</v>
      </c>
      <c r="B10" s="32">
        <v>1310290</v>
      </c>
      <c r="C10" s="33">
        <f>4002.79+470500.16+1317.84+149670.29+2899.63+287932.26+1030.9+133073.8</f>
        <v>1050427.67</v>
      </c>
      <c r="D10" s="32">
        <f>34377</f>
        <v>34377</v>
      </c>
      <c r="E10" s="33">
        <f>14318.32+239208.54</f>
        <v>253526.86000000002</v>
      </c>
      <c r="F10" s="32">
        <v>822607</v>
      </c>
      <c r="G10" s="33">
        <f>63360.94+587015.47+78.34</f>
        <v>650454.7499999999</v>
      </c>
      <c r="H10" s="32">
        <v>0</v>
      </c>
      <c r="I10" s="37">
        <v>1650</v>
      </c>
      <c r="J10" s="32">
        <v>39974</v>
      </c>
      <c r="K10" s="33">
        <f>8096.71+7418.97</f>
        <v>15515.68</v>
      </c>
      <c r="L10" s="32">
        <f>11305360+600000+800000+500000</f>
        <v>13205360</v>
      </c>
      <c r="M10" s="33">
        <f>622199.69+11440412+546.38</f>
        <v>12063158.07</v>
      </c>
      <c r="N10" s="32">
        <v>34000</v>
      </c>
      <c r="O10" s="33">
        <v>106410.67</v>
      </c>
      <c r="P10" s="34">
        <f>+O10+M10+K10+I10+G10+E10+C10</f>
        <v>14141143.7</v>
      </c>
      <c r="Q10" s="34">
        <f>+N10+L10+J10+H10+F10+D10+B10-P10</f>
        <v>1305464.3000000007</v>
      </c>
      <c r="R10" s="5"/>
    </row>
    <row r="11" spans="1:17" ht="9" customHeight="1">
      <c r="A11" s="31"/>
      <c r="B11" s="35"/>
      <c r="C11" s="33"/>
      <c r="D11" s="32"/>
      <c r="E11" s="33"/>
      <c r="F11" s="32"/>
      <c r="G11" s="33"/>
      <c r="H11" s="37"/>
      <c r="I11" s="37"/>
      <c r="J11" s="32"/>
      <c r="K11" s="33"/>
      <c r="L11" s="32"/>
      <c r="M11" s="33"/>
      <c r="N11" s="32"/>
      <c r="O11" s="33"/>
      <c r="P11" s="34"/>
      <c r="Q11" s="82"/>
    </row>
    <row r="12" spans="1:18" ht="18" thickBot="1">
      <c r="A12" s="38" t="s">
        <v>11</v>
      </c>
      <c r="B12" s="39">
        <f aca="true" t="shared" si="0" ref="B12:Q12">SUM(B7:B11)</f>
        <v>3925309</v>
      </c>
      <c r="C12" s="40">
        <f t="shared" si="0"/>
        <v>3189622.84</v>
      </c>
      <c r="D12" s="39">
        <f t="shared" si="0"/>
        <v>314938</v>
      </c>
      <c r="E12" s="40">
        <f t="shared" si="0"/>
        <v>408694.63</v>
      </c>
      <c r="F12" s="39">
        <f t="shared" si="0"/>
        <v>1280390</v>
      </c>
      <c r="G12" s="40">
        <f t="shared" si="0"/>
        <v>1265741.44</v>
      </c>
      <c r="H12" s="39">
        <f t="shared" si="0"/>
        <v>125000</v>
      </c>
      <c r="I12" s="41">
        <f t="shared" si="0"/>
        <v>40786</v>
      </c>
      <c r="J12" s="39">
        <f t="shared" si="0"/>
        <v>117974</v>
      </c>
      <c r="K12" s="40">
        <f t="shared" si="0"/>
        <v>200012.01</v>
      </c>
      <c r="L12" s="39">
        <f t="shared" si="0"/>
        <v>20811059</v>
      </c>
      <c r="M12" s="40">
        <f t="shared" si="0"/>
        <v>19870073.990000002</v>
      </c>
      <c r="N12" s="39">
        <f t="shared" si="0"/>
        <v>434000</v>
      </c>
      <c r="O12" s="40">
        <f t="shared" si="0"/>
        <v>437938.91</v>
      </c>
      <c r="P12" s="42">
        <f t="shared" si="0"/>
        <v>25412869.82</v>
      </c>
      <c r="Q12" s="42">
        <f t="shared" si="0"/>
        <v>1595800.1800000006</v>
      </c>
      <c r="R12" s="5"/>
    </row>
    <row r="13" spans="1:17" ht="17.25" thickBot="1">
      <c r="A13" s="43" t="s">
        <v>30</v>
      </c>
      <c r="B13" s="44"/>
      <c r="C13" s="137">
        <f>+C12/B12</f>
        <v>0.8125787906124078</v>
      </c>
      <c r="D13" s="45"/>
      <c r="E13" s="137">
        <f>+E12/D12</f>
        <v>1.2976986899008693</v>
      </c>
      <c r="F13" s="45"/>
      <c r="G13" s="137">
        <f>+G12/F12</f>
        <v>0.9885592983387873</v>
      </c>
      <c r="H13" s="45"/>
      <c r="I13" s="137">
        <f>+I12/H12</f>
        <v>0.326288</v>
      </c>
      <c r="J13" s="45"/>
      <c r="K13" s="137">
        <f>+K12/J12</f>
        <v>1.6953905945377796</v>
      </c>
      <c r="L13" s="45"/>
      <c r="M13" s="137">
        <f>+M12/L12</f>
        <v>0.9547843764221706</v>
      </c>
      <c r="N13" s="47"/>
      <c r="O13" s="139">
        <f>+O12/N12</f>
        <v>1.0090758294930875</v>
      </c>
      <c r="P13" s="56"/>
      <c r="Q13" s="5"/>
    </row>
    <row r="14" spans="12:17" ht="16.5">
      <c r="L14" s="76"/>
      <c r="P14" s="50"/>
      <c r="Q14" s="5"/>
    </row>
    <row r="15" ht="16.5">
      <c r="P15" s="5"/>
    </row>
    <row r="37" spans="1:6" ht="16.5">
      <c r="A37" s="51"/>
      <c r="B37" s="51"/>
      <c r="C37" s="51"/>
      <c r="D37" s="51"/>
      <c r="E37" s="51"/>
      <c r="F37" s="51"/>
    </row>
    <row r="39" spans="3:6" ht="17.25">
      <c r="C39" s="63"/>
      <c r="D39" s="5"/>
      <c r="E39" s="51"/>
      <c r="F39" s="51"/>
    </row>
    <row r="40" spans="3:6" ht="17.25">
      <c r="C40" s="63"/>
      <c r="D40" s="5"/>
      <c r="E40" s="51"/>
      <c r="F40" s="51"/>
    </row>
    <row r="41" spans="3:6" ht="17.25">
      <c r="C41" s="63"/>
      <c r="D41" s="5"/>
      <c r="E41" s="51"/>
      <c r="F41" s="51"/>
    </row>
    <row r="42" spans="3:6" ht="17.25">
      <c r="C42" s="63"/>
      <c r="D42" s="5"/>
      <c r="E42" s="51"/>
      <c r="F42" s="51"/>
    </row>
    <row r="43" spans="3:6" ht="17.25">
      <c r="C43" s="63"/>
      <c r="D43" s="5"/>
      <c r="E43" s="51"/>
      <c r="F43" s="51"/>
    </row>
    <row r="44" spans="3:6" ht="17.25">
      <c r="C44" s="63"/>
      <c r="D44" s="5"/>
      <c r="E44" s="51"/>
      <c r="F44" s="51"/>
    </row>
    <row r="45" ht="17.25">
      <c r="C45" s="62"/>
    </row>
    <row r="48" spans="4:5" ht="16.5">
      <c r="D48" s="60"/>
      <c r="E48" s="60"/>
    </row>
    <row r="49" spans="1:5" ht="16.5">
      <c r="A49" s="60" t="s">
        <v>26</v>
      </c>
      <c r="B49" s="60" t="s">
        <v>27</v>
      </c>
      <c r="C49" s="60" t="s">
        <v>28</v>
      </c>
      <c r="D49" s="60"/>
      <c r="E49" s="60"/>
    </row>
    <row r="50" spans="1:3" ht="17.25">
      <c r="A50" s="62">
        <f>+B12</f>
        <v>3925309</v>
      </c>
      <c r="B50" s="63">
        <f>+C12</f>
        <v>3189622.84</v>
      </c>
      <c r="C50" s="60" t="s">
        <v>1</v>
      </c>
    </row>
    <row r="51" spans="1:3" ht="17.25">
      <c r="A51" s="62">
        <f>+D12</f>
        <v>314938</v>
      </c>
      <c r="B51" s="63">
        <f>+E12</f>
        <v>408694.63</v>
      </c>
      <c r="C51" s="60" t="s">
        <v>2</v>
      </c>
    </row>
    <row r="52" spans="1:3" ht="17.25">
      <c r="A52" s="62">
        <f>+F12</f>
        <v>1280390</v>
      </c>
      <c r="B52" s="63">
        <f>+G12</f>
        <v>1265741.44</v>
      </c>
      <c r="C52" s="60" t="s">
        <v>3</v>
      </c>
    </row>
    <row r="53" spans="1:3" ht="17.25">
      <c r="A53" s="64">
        <f>+H12</f>
        <v>125000</v>
      </c>
      <c r="B53" s="63">
        <f>+I12</f>
        <v>40786</v>
      </c>
      <c r="C53" s="60" t="s">
        <v>34</v>
      </c>
    </row>
    <row r="54" spans="1:3" ht="17.25">
      <c r="A54" s="62">
        <f>+J12</f>
        <v>117974</v>
      </c>
      <c r="B54" s="63">
        <f>+K12</f>
        <v>200012.01</v>
      </c>
      <c r="C54" s="60" t="s">
        <v>32</v>
      </c>
    </row>
    <row r="55" spans="1:3" ht="17.25">
      <c r="A55" s="62">
        <f>+L12</f>
        <v>20811059</v>
      </c>
      <c r="B55" s="63">
        <f>+M12</f>
        <v>19870073.990000002</v>
      </c>
      <c r="C55" s="60" t="s">
        <v>29</v>
      </c>
    </row>
    <row r="56" spans="1:3" ht="17.25">
      <c r="A56" s="62">
        <f>+N12</f>
        <v>434000</v>
      </c>
      <c r="B56" s="63">
        <f>+O12</f>
        <v>437938.91</v>
      </c>
      <c r="C56" s="60" t="s">
        <v>35</v>
      </c>
    </row>
    <row r="57" spans="1:2" ht="17.25">
      <c r="A57" s="62">
        <v>2832908</v>
      </c>
      <c r="B57" s="63">
        <v>692231.2</v>
      </c>
    </row>
    <row r="58" spans="1:2" ht="17.25">
      <c r="A58" s="62"/>
      <c r="B58" s="62"/>
    </row>
    <row r="59" spans="1:2" ht="17.25">
      <c r="A59" s="62"/>
      <c r="B59" s="62"/>
    </row>
  </sheetData>
  <mergeCells count="10">
    <mergeCell ref="L2:M2"/>
    <mergeCell ref="B3:D3"/>
    <mergeCell ref="L5:M5"/>
    <mergeCell ref="N5:O5"/>
    <mergeCell ref="B5:C5"/>
    <mergeCell ref="D5:E5"/>
    <mergeCell ref="F5:G5"/>
    <mergeCell ref="J5:K5"/>
    <mergeCell ref="H5:I5"/>
    <mergeCell ref="B2:F2"/>
  </mergeCells>
  <printOptions/>
  <pageMargins left="0.71" right="0.48" top="1.04" bottom="0.5" header="0.31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4"/>
  <sheetViews>
    <sheetView workbookViewId="0" topLeftCell="I13">
      <selection activeCell="P24" sqref="P24"/>
    </sheetView>
  </sheetViews>
  <sheetFormatPr defaultColWidth="11.421875" defaultRowHeight="15"/>
  <cols>
    <col min="1" max="1" width="19.28125" style="1" customWidth="1"/>
    <col min="2" max="2" width="9.57421875" style="1" customWidth="1"/>
    <col min="3" max="3" width="12.28125" style="1" customWidth="1"/>
    <col min="4" max="4" width="7.8515625" style="1" customWidth="1"/>
    <col min="5" max="5" width="10.7109375" style="1" customWidth="1"/>
    <col min="6" max="6" width="9.421875" style="1" customWidth="1"/>
    <col min="7" max="7" width="11.8515625" style="1" customWidth="1"/>
    <col min="8" max="8" width="7.140625" style="1" customWidth="1"/>
    <col min="9" max="9" width="9.7109375" style="1" customWidth="1"/>
    <col min="10" max="10" width="7.57421875" style="1" customWidth="1"/>
    <col min="11" max="11" width="10.00390625" style="1" customWidth="1"/>
    <col min="12" max="12" width="7.140625" style="1" customWidth="1"/>
    <col min="13" max="13" width="9.28125" style="1" customWidth="1"/>
    <col min="14" max="14" width="9.57421875" style="1" customWidth="1"/>
    <col min="15" max="15" width="10.28125" style="1" customWidth="1"/>
    <col min="16" max="16" width="12.8515625" style="1" customWidth="1"/>
    <col min="17" max="17" width="12.421875" style="1" customWidth="1"/>
    <col min="18" max="18" width="15.00390625" style="1" bestFit="1" customWidth="1"/>
    <col min="19" max="16384" width="11.421875" style="1" customWidth="1"/>
  </cols>
  <sheetData>
    <row r="2" spans="1:15" ht="18">
      <c r="A2" s="144" t="s">
        <v>0</v>
      </c>
      <c r="B2" s="169" t="s">
        <v>112</v>
      </c>
      <c r="C2" s="185"/>
      <c r="D2" s="185"/>
      <c r="E2" s="185"/>
      <c r="F2" s="167"/>
      <c r="G2" s="167"/>
      <c r="H2" s="167"/>
      <c r="I2" s="181"/>
      <c r="J2" s="21"/>
      <c r="K2" s="178" t="s">
        <v>23</v>
      </c>
      <c r="L2" s="179"/>
      <c r="M2" s="148">
        <v>40817</v>
      </c>
      <c r="O2" s="54"/>
    </row>
    <row r="3" spans="2:16" ht="16.5">
      <c r="B3" s="183"/>
      <c r="C3" s="184"/>
      <c r="D3" s="184"/>
      <c r="E3" s="184"/>
      <c r="F3" s="65"/>
      <c r="P3" s="83"/>
    </row>
    <row r="5" ht="17.25" thickBot="1"/>
    <row r="6" spans="1:17" ht="17.25">
      <c r="A6" s="25"/>
      <c r="B6" s="176" t="s">
        <v>1</v>
      </c>
      <c r="C6" s="177"/>
      <c r="D6" s="176" t="s">
        <v>2</v>
      </c>
      <c r="E6" s="177"/>
      <c r="F6" s="176" t="s">
        <v>3</v>
      </c>
      <c r="G6" s="177"/>
      <c r="H6" s="176" t="s">
        <v>4</v>
      </c>
      <c r="I6" s="177"/>
      <c r="J6" s="176" t="s">
        <v>32</v>
      </c>
      <c r="K6" s="177"/>
      <c r="L6" s="176" t="s">
        <v>36</v>
      </c>
      <c r="M6" s="177"/>
      <c r="N6" s="176" t="s">
        <v>33</v>
      </c>
      <c r="O6" s="177"/>
      <c r="P6" s="26" t="s">
        <v>5</v>
      </c>
      <c r="Q6" s="26" t="s">
        <v>38</v>
      </c>
    </row>
    <row r="7" spans="1:17" ht="17.25">
      <c r="A7" s="27"/>
      <c r="B7" s="28" t="s">
        <v>31</v>
      </c>
      <c r="C7" s="28" t="s">
        <v>37</v>
      </c>
      <c r="D7" s="28" t="s">
        <v>31</v>
      </c>
      <c r="E7" s="28" t="s">
        <v>37</v>
      </c>
      <c r="F7" s="28" t="s">
        <v>31</v>
      </c>
      <c r="G7" s="28" t="s">
        <v>37</v>
      </c>
      <c r="H7" s="28" t="s">
        <v>31</v>
      </c>
      <c r="I7" s="28" t="s">
        <v>37</v>
      </c>
      <c r="J7" s="28" t="s">
        <v>31</v>
      </c>
      <c r="K7" s="28" t="s">
        <v>37</v>
      </c>
      <c r="L7" s="28" t="s">
        <v>31</v>
      </c>
      <c r="M7" s="28" t="s">
        <v>37</v>
      </c>
      <c r="N7" s="28" t="s">
        <v>31</v>
      </c>
      <c r="O7" s="28" t="s">
        <v>37</v>
      </c>
      <c r="P7" s="29" t="s">
        <v>25</v>
      </c>
      <c r="Q7" s="30" t="s">
        <v>39</v>
      </c>
    </row>
    <row r="8" spans="1:18" ht="17.25">
      <c r="A8" s="84" t="s">
        <v>14</v>
      </c>
      <c r="B8" s="32">
        <v>717333</v>
      </c>
      <c r="C8" s="33">
        <f>9110.24+341498.62+1529.1+60497.69+14660.03+12+138734.64</f>
        <v>566042.3200000001</v>
      </c>
      <c r="D8" s="32">
        <f>35244+200000</f>
        <v>235244</v>
      </c>
      <c r="E8" s="33">
        <f>1047.66+20952.35</f>
        <v>22000.01</v>
      </c>
      <c r="F8" s="32">
        <f>873641+250000+500000-152000</f>
        <v>1471641</v>
      </c>
      <c r="G8" s="33">
        <f>43646.47+674446.16</f>
        <v>718092.63</v>
      </c>
      <c r="H8" s="32">
        <v>0</v>
      </c>
      <c r="I8" s="33">
        <v>0</v>
      </c>
      <c r="J8" s="32">
        <v>12001</v>
      </c>
      <c r="K8" s="33">
        <v>52806.74</v>
      </c>
      <c r="L8" s="32">
        <v>0</v>
      </c>
      <c r="M8" s="37">
        <v>5827.02</v>
      </c>
      <c r="N8" s="32">
        <f>600000+1124400</f>
        <v>1724400</v>
      </c>
      <c r="O8" s="33">
        <v>434550.31</v>
      </c>
      <c r="P8" s="34">
        <f>+O8+K8+G8+E8+C8+I8+M8</f>
        <v>1799319.03</v>
      </c>
      <c r="Q8" s="34">
        <f>+B8+D8+F8+H8+J8+N8-P8</f>
        <v>2361299.9699999997</v>
      </c>
      <c r="R8" s="5"/>
    </row>
    <row r="9" spans="1:18" ht="17.25">
      <c r="A9" s="84" t="s">
        <v>88</v>
      </c>
      <c r="B9" s="32">
        <v>2564554</v>
      </c>
      <c r="C9" s="33">
        <f>24+254928.96+6138.23+952580.24+6350.22+612628.24+7206.56+614693.43</f>
        <v>2454549.88</v>
      </c>
      <c r="D9" s="32">
        <v>63681</v>
      </c>
      <c r="E9" s="33">
        <f>4874.42+66885.04+112</f>
        <v>71871.45999999999</v>
      </c>
      <c r="F9" s="32">
        <v>55505</v>
      </c>
      <c r="G9" s="33">
        <f>3935+154921.02+408.68+2041.97+3750.35</f>
        <v>165057.02</v>
      </c>
      <c r="H9" s="32">
        <v>4000</v>
      </c>
      <c r="I9" s="33">
        <v>0</v>
      </c>
      <c r="J9" s="32">
        <f>54400-50000</f>
        <v>4400</v>
      </c>
      <c r="K9" s="33">
        <v>11206.76</v>
      </c>
      <c r="L9" s="32">
        <v>0</v>
      </c>
      <c r="M9" s="37">
        <v>1427.17</v>
      </c>
      <c r="N9" s="32">
        <v>0</v>
      </c>
      <c r="O9" s="33">
        <v>74261.4</v>
      </c>
      <c r="P9" s="34">
        <f>+O9+K9+G9+E9+C9+M9</f>
        <v>2778373.69</v>
      </c>
      <c r="Q9" s="34">
        <f>+B9+D9+F9+H9+J9+N9-P9</f>
        <v>-86233.68999999994</v>
      </c>
      <c r="R9" s="5"/>
    </row>
    <row r="10" spans="1:18" ht="17.25">
      <c r="A10" s="84" t="s">
        <v>87</v>
      </c>
      <c r="B10" s="32">
        <v>2809106</v>
      </c>
      <c r="C10" s="33">
        <f>6901.48+629604.06+361.26+94907.96+44407.85+2125913.79</f>
        <v>2902096.4</v>
      </c>
      <c r="D10" s="32">
        <v>101570</v>
      </c>
      <c r="E10" s="33">
        <f>20395.94+91190.01</f>
        <v>111585.95</v>
      </c>
      <c r="F10" s="32">
        <f>1270487-428000+150000</f>
        <v>992487</v>
      </c>
      <c r="G10" s="33">
        <f>176454.3+1232865.53+4943.31+56081.46</f>
        <v>1470344.6</v>
      </c>
      <c r="H10" s="32">
        <v>0</v>
      </c>
      <c r="I10" s="33">
        <v>0</v>
      </c>
      <c r="J10" s="32">
        <v>0</v>
      </c>
      <c r="K10" s="33">
        <v>1117.26</v>
      </c>
      <c r="L10" s="32">
        <v>0</v>
      </c>
      <c r="M10" s="37">
        <v>3380.74</v>
      </c>
      <c r="N10" s="32">
        <v>0</v>
      </c>
      <c r="O10" s="33">
        <v>160242.1</v>
      </c>
      <c r="P10" s="34">
        <f>+O10+K10+G10+E10+C10+M10+I10</f>
        <v>4648767.050000001</v>
      </c>
      <c r="Q10" s="34">
        <f>+B10+D10+F10+H10+J10+N10-P10</f>
        <v>-745604.0500000007</v>
      </c>
      <c r="R10" s="5"/>
    </row>
    <row r="11" spans="1:18" ht="17.25">
      <c r="A11" s="84" t="s">
        <v>89</v>
      </c>
      <c r="B11" s="32">
        <v>3242240</v>
      </c>
      <c r="C11" s="33">
        <f>1209.84+103261.12+42626.78+2429240.47+1338.53+208281.4</f>
        <v>2785958.1399999997</v>
      </c>
      <c r="D11" s="32">
        <v>222807</v>
      </c>
      <c r="E11" s="33">
        <f>28645.59+163894.28</f>
        <v>192539.87</v>
      </c>
      <c r="F11" s="32">
        <v>223209</v>
      </c>
      <c r="G11" s="33">
        <f>9665+203117.63+130.06+231.92+1300+15838.42</f>
        <v>230283.03000000003</v>
      </c>
      <c r="H11" s="32">
        <v>0</v>
      </c>
      <c r="I11" s="33">
        <v>0</v>
      </c>
      <c r="J11" s="32">
        <v>0</v>
      </c>
      <c r="K11" s="33">
        <v>5317.5</v>
      </c>
      <c r="L11" s="32">
        <v>0</v>
      </c>
      <c r="M11" s="37">
        <f>3458+8106.25</f>
        <v>11564.25</v>
      </c>
      <c r="N11" s="32">
        <v>0</v>
      </c>
      <c r="O11" s="33">
        <v>72469.28</v>
      </c>
      <c r="P11" s="34">
        <f>+O11+K11+G11+E11+C11+M11</f>
        <v>3298132.07</v>
      </c>
      <c r="Q11" s="34">
        <f>+B11+D11+F11+H11+J11+N11+L11-P11</f>
        <v>390123.93000000017</v>
      </c>
      <c r="R11" s="161"/>
    </row>
    <row r="12" spans="1:17" ht="9" customHeight="1">
      <c r="A12" s="84"/>
      <c r="B12" s="35"/>
      <c r="C12" s="33"/>
      <c r="D12" s="35"/>
      <c r="E12" s="33"/>
      <c r="F12" s="35"/>
      <c r="G12" s="33"/>
      <c r="H12" s="35"/>
      <c r="I12" s="33"/>
      <c r="J12" s="35"/>
      <c r="K12" s="33"/>
      <c r="L12" s="37"/>
      <c r="M12" s="37"/>
      <c r="N12" s="35"/>
      <c r="O12" s="33"/>
      <c r="P12" s="34"/>
      <c r="Q12" s="34"/>
    </row>
    <row r="13" spans="1:17" ht="18" thickBot="1">
      <c r="A13" s="38" t="s">
        <v>11</v>
      </c>
      <c r="B13" s="39">
        <f aca="true" t="shared" si="0" ref="B13:Q13">SUM(B8:B12)</f>
        <v>9333233</v>
      </c>
      <c r="C13" s="40">
        <f t="shared" si="0"/>
        <v>8708646.739999998</v>
      </c>
      <c r="D13" s="39">
        <f t="shared" si="0"/>
        <v>623302</v>
      </c>
      <c r="E13" s="40">
        <f t="shared" si="0"/>
        <v>397997.29</v>
      </c>
      <c r="F13" s="39">
        <f t="shared" si="0"/>
        <v>2742842</v>
      </c>
      <c r="G13" s="40">
        <f t="shared" si="0"/>
        <v>2583777.2800000003</v>
      </c>
      <c r="H13" s="39">
        <f t="shared" si="0"/>
        <v>4000</v>
      </c>
      <c r="I13" s="40">
        <f t="shared" si="0"/>
        <v>0</v>
      </c>
      <c r="J13" s="39">
        <f t="shared" si="0"/>
        <v>16401</v>
      </c>
      <c r="K13" s="40">
        <f t="shared" si="0"/>
        <v>70448.26000000001</v>
      </c>
      <c r="L13" s="39">
        <f>SUM(L8:L12)</f>
        <v>0</v>
      </c>
      <c r="M13" s="40">
        <f>SUM(M8:M12)</f>
        <v>22199.18</v>
      </c>
      <c r="N13" s="39">
        <f t="shared" si="0"/>
        <v>1724400</v>
      </c>
      <c r="O13" s="40">
        <f t="shared" si="0"/>
        <v>741523.09</v>
      </c>
      <c r="P13" s="85">
        <f t="shared" si="0"/>
        <v>12524591.84</v>
      </c>
      <c r="Q13" s="150">
        <f t="shared" si="0"/>
        <v>1919586.1599999992</v>
      </c>
    </row>
    <row r="14" spans="1:17" ht="17.25" thickBot="1">
      <c r="A14" s="38" t="s">
        <v>30</v>
      </c>
      <c r="B14" s="86"/>
      <c r="C14" s="91">
        <f>+C13/B13</f>
        <v>0.9330793241741633</v>
      </c>
      <c r="D14" s="87"/>
      <c r="E14" s="91">
        <f>+E13/D13</f>
        <v>0.638530423454441</v>
      </c>
      <c r="F14" s="87"/>
      <c r="G14" s="91">
        <f>+G13/F13</f>
        <v>0.9420073339988232</v>
      </c>
      <c r="H14" s="87"/>
      <c r="I14" s="91">
        <f>+I13/H13</f>
        <v>0</v>
      </c>
      <c r="J14" s="87"/>
      <c r="K14" s="91">
        <f>+K13/J13</f>
        <v>4.295363697335529</v>
      </c>
      <c r="L14" s="88"/>
      <c r="M14" s="47"/>
      <c r="N14" s="45"/>
      <c r="O14" s="139">
        <f>+O13/N13</f>
        <v>0.4300180294595221</v>
      </c>
      <c r="P14" s="56"/>
      <c r="Q14" s="5"/>
    </row>
    <row r="15" spans="1:17" ht="16.5">
      <c r="A15" s="49"/>
      <c r="B15" s="49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138"/>
      <c r="Q15" s="76"/>
    </row>
    <row r="16" ht="16.5">
      <c r="P16" s="5"/>
    </row>
    <row r="18" ht="16.5">
      <c r="Q18" s="5"/>
    </row>
    <row r="41" spans="1:6" ht="16.5">
      <c r="A41" s="51"/>
      <c r="B41" s="51"/>
      <c r="C41" s="51"/>
      <c r="D41" s="51"/>
      <c r="E41" s="51"/>
      <c r="F41" s="51"/>
    </row>
    <row r="43" spans="3:6" ht="16.5">
      <c r="C43" s="50"/>
      <c r="D43" s="5"/>
      <c r="E43" s="51"/>
      <c r="F43" s="51"/>
    </row>
    <row r="44" spans="4:6" ht="16.5">
      <c r="D44" s="5"/>
      <c r="F44" s="51"/>
    </row>
    <row r="45" spans="1:6" ht="16.5">
      <c r="A45" s="60" t="s">
        <v>26</v>
      </c>
      <c r="B45" s="69" t="s">
        <v>27</v>
      </c>
      <c r="C45" s="89" t="s">
        <v>28</v>
      </c>
      <c r="D45" s="5"/>
      <c r="F45" s="51"/>
    </row>
    <row r="46" spans="1:6" ht="17.25">
      <c r="A46" s="62">
        <f>+B13</f>
        <v>9333233</v>
      </c>
      <c r="B46" s="63">
        <f>+C13</f>
        <v>8708646.739999998</v>
      </c>
      <c r="C46" s="89" t="s">
        <v>1</v>
      </c>
      <c r="D46" s="5"/>
      <c r="F46" s="51"/>
    </row>
    <row r="47" spans="1:6" ht="17.25">
      <c r="A47" s="62">
        <f>+D13</f>
        <v>623302</v>
      </c>
      <c r="B47" s="63">
        <f>+E13</f>
        <v>397997.29</v>
      </c>
      <c r="C47" s="89" t="s">
        <v>2</v>
      </c>
      <c r="D47" s="5"/>
      <c r="F47" s="51"/>
    </row>
    <row r="48" spans="1:6" ht="17.25">
      <c r="A48" s="62">
        <f>+F13</f>
        <v>2742842</v>
      </c>
      <c r="B48" s="63">
        <f>+G13</f>
        <v>2583777.2800000003</v>
      </c>
      <c r="C48" s="89" t="s">
        <v>3</v>
      </c>
      <c r="D48" s="5"/>
      <c r="F48" s="51"/>
    </row>
    <row r="49" spans="1:6" ht="17.25">
      <c r="A49" s="64">
        <f>+H13</f>
        <v>4000</v>
      </c>
      <c r="B49" s="63">
        <f>+I13</f>
        <v>0</v>
      </c>
      <c r="C49" s="90" t="s">
        <v>34</v>
      </c>
      <c r="D49" s="5"/>
      <c r="F49" s="51"/>
    </row>
    <row r="50" spans="1:3" ht="17.25">
      <c r="A50" s="62">
        <f>+J13</f>
        <v>16401</v>
      </c>
      <c r="B50" s="63">
        <f>+K13</f>
        <v>70448.26000000001</v>
      </c>
      <c r="C50" s="60" t="s">
        <v>32</v>
      </c>
    </row>
    <row r="51" spans="1:3" ht="17.25">
      <c r="A51" s="64">
        <f>+L13</f>
        <v>0</v>
      </c>
      <c r="B51" s="63">
        <f>+M13</f>
        <v>22199.18</v>
      </c>
      <c r="C51" s="60" t="s">
        <v>102</v>
      </c>
    </row>
    <row r="52" spans="1:3" ht="17.25">
      <c r="A52" s="62">
        <f>+N13</f>
        <v>1724400</v>
      </c>
      <c r="B52" s="63">
        <f>+O13</f>
        <v>741523.09</v>
      </c>
      <c r="C52" s="60" t="s">
        <v>35</v>
      </c>
    </row>
    <row r="53" spans="2:3" ht="16.5">
      <c r="B53" s="48"/>
      <c r="C53" s="60"/>
    </row>
    <row r="54" spans="1:2" ht="16.5">
      <c r="A54" s="1">
        <v>2161994.87</v>
      </c>
      <c r="B54" s="50">
        <v>623381.8</v>
      </c>
    </row>
  </sheetData>
  <mergeCells count="10">
    <mergeCell ref="B2:I2"/>
    <mergeCell ref="K2:L2"/>
    <mergeCell ref="B3:E3"/>
    <mergeCell ref="N6:O6"/>
    <mergeCell ref="J6:K6"/>
    <mergeCell ref="B6:C6"/>
    <mergeCell ref="D6:E6"/>
    <mergeCell ref="F6:G6"/>
    <mergeCell ref="H6:I6"/>
    <mergeCell ref="L6:M6"/>
  </mergeCells>
  <printOptions/>
  <pageMargins left="0.64" right="0.43" top="0.99" bottom="1" header="0.39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5"/>
  <sheetViews>
    <sheetView workbookViewId="0" topLeftCell="A10">
      <selection activeCell="P14" sqref="P14"/>
    </sheetView>
  </sheetViews>
  <sheetFormatPr defaultColWidth="11.421875" defaultRowHeight="15"/>
  <cols>
    <col min="1" max="1" width="22.7109375" style="1" customWidth="1"/>
    <col min="2" max="2" width="9.28125" style="1" customWidth="1"/>
    <col min="3" max="3" width="10.57421875" style="1" customWidth="1"/>
    <col min="4" max="4" width="7.7109375" style="1" customWidth="1"/>
    <col min="5" max="5" width="9.140625" style="1" customWidth="1"/>
    <col min="6" max="6" width="7.8515625" style="1" customWidth="1"/>
    <col min="7" max="7" width="9.57421875" style="1" customWidth="1"/>
    <col min="8" max="8" width="7.57421875" style="1" customWidth="1"/>
    <col min="9" max="9" width="10.57421875" style="1" customWidth="1"/>
    <col min="10" max="10" width="7.28125" style="1" customWidth="1"/>
    <col min="11" max="11" width="9.421875" style="1" customWidth="1"/>
    <col min="12" max="12" width="7.140625" style="1" customWidth="1"/>
    <col min="13" max="13" width="9.57421875" style="1" customWidth="1"/>
    <col min="14" max="14" width="7.57421875" style="1" customWidth="1"/>
    <col min="15" max="15" width="10.140625" style="1" customWidth="1"/>
    <col min="16" max="16" width="12.28125" style="1" customWidth="1"/>
    <col min="17" max="17" width="10.57421875" style="1" customWidth="1"/>
    <col min="18" max="16384" width="11.421875" style="1" customWidth="1"/>
  </cols>
  <sheetData>
    <row r="2" spans="1:15" ht="18">
      <c r="A2" s="144" t="s">
        <v>0</v>
      </c>
      <c r="B2" s="169" t="s">
        <v>113</v>
      </c>
      <c r="C2" s="169"/>
      <c r="D2" s="174"/>
      <c r="E2" s="174"/>
      <c r="I2" s="178" t="s">
        <v>23</v>
      </c>
      <c r="J2" s="178"/>
      <c r="K2" s="148">
        <v>40817</v>
      </c>
      <c r="L2" s="123"/>
      <c r="M2" s="123"/>
      <c r="O2" s="23"/>
    </row>
    <row r="3" spans="2:3" ht="16.5">
      <c r="B3" s="183"/>
      <c r="C3" s="183"/>
    </row>
    <row r="5" ht="17.25" thickBot="1"/>
    <row r="6" spans="1:17" ht="17.25">
      <c r="A6" s="25"/>
      <c r="B6" s="176" t="s">
        <v>1</v>
      </c>
      <c r="C6" s="177"/>
      <c r="D6" s="176" t="s">
        <v>2</v>
      </c>
      <c r="E6" s="177"/>
      <c r="F6" s="176" t="s">
        <v>3</v>
      </c>
      <c r="G6" s="177"/>
      <c r="H6" s="176" t="s">
        <v>4</v>
      </c>
      <c r="I6" s="177"/>
      <c r="J6" s="176" t="s">
        <v>32</v>
      </c>
      <c r="K6" s="177"/>
      <c r="L6" s="125" t="s">
        <v>36</v>
      </c>
      <c r="M6" s="73"/>
      <c r="N6" s="176" t="s">
        <v>33</v>
      </c>
      <c r="O6" s="177"/>
      <c r="P6" s="26" t="s">
        <v>5</v>
      </c>
      <c r="Q6" s="26" t="s">
        <v>38</v>
      </c>
    </row>
    <row r="7" spans="1:17" ht="17.25">
      <c r="A7" s="27"/>
      <c r="B7" s="28" t="s">
        <v>31</v>
      </c>
      <c r="C7" s="28" t="s">
        <v>37</v>
      </c>
      <c r="D7" s="28" t="s">
        <v>31</v>
      </c>
      <c r="E7" s="28" t="s">
        <v>37</v>
      </c>
      <c r="F7" s="28" t="s">
        <v>31</v>
      </c>
      <c r="G7" s="28" t="s">
        <v>37</v>
      </c>
      <c r="H7" s="28" t="s">
        <v>31</v>
      </c>
      <c r="I7" s="28" t="s">
        <v>37</v>
      </c>
      <c r="J7" s="28" t="s">
        <v>31</v>
      </c>
      <c r="K7" s="28" t="s">
        <v>37</v>
      </c>
      <c r="L7" s="28" t="s">
        <v>31</v>
      </c>
      <c r="M7" s="28" t="s">
        <v>37</v>
      </c>
      <c r="N7" s="28" t="s">
        <v>31</v>
      </c>
      <c r="O7" s="28" t="s">
        <v>37</v>
      </c>
      <c r="P7" s="29" t="s">
        <v>25</v>
      </c>
      <c r="Q7" s="30" t="s">
        <v>39</v>
      </c>
    </row>
    <row r="8" spans="1:18" ht="17.25">
      <c r="A8" s="31" t="s">
        <v>98</v>
      </c>
      <c r="B8" s="32">
        <v>890569</v>
      </c>
      <c r="C8" s="33">
        <f>9552.67+722237.57</f>
        <v>731790.24</v>
      </c>
      <c r="D8" s="66">
        <v>69700</v>
      </c>
      <c r="E8" s="33">
        <f>2587.65+21173.49</f>
        <v>23761.140000000003</v>
      </c>
      <c r="F8" s="66">
        <v>240000</v>
      </c>
      <c r="G8" s="33">
        <f>1950.94+67231.98</f>
        <v>69182.92</v>
      </c>
      <c r="H8" s="66">
        <v>120000</v>
      </c>
      <c r="I8" s="33">
        <f>27273.25+166129.98</f>
        <v>193403.23</v>
      </c>
      <c r="J8" s="66">
        <v>7000</v>
      </c>
      <c r="K8" s="33">
        <f>160.21+6047.03</f>
        <v>6207.24</v>
      </c>
      <c r="L8" s="66">
        <v>72000</v>
      </c>
      <c r="M8" s="33">
        <v>0</v>
      </c>
      <c r="N8" s="66">
        <v>60000</v>
      </c>
      <c r="O8" s="33">
        <v>52539.51</v>
      </c>
      <c r="P8" s="34">
        <f>+C8+G8+I8+K8+O8+E8</f>
        <v>1076884.2799999998</v>
      </c>
      <c r="Q8" s="34">
        <f>+B8+D8+F8+H8+J8+N8-P8+L8</f>
        <v>382384.7200000002</v>
      </c>
      <c r="R8" s="156"/>
    </row>
    <row r="9" spans="1:17" ht="17.25">
      <c r="A9" s="31" t="s">
        <v>142</v>
      </c>
      <c r="B9" s="32">
        <v>90102</v>
      </c>
      <c r="C9" s="33">
        <f>184.88+71230.45</f>
        <v>71415.33</v>
      </c>
      <c r="D9" s="66">
        <v>0</v>
      </c>
      <c r="E9" s="33">
        <v>0</v>
      </c>
      <c r="F9" s="66">
        <v>0</v>
      </c>
      <c r="G9" s="33">
        <v>0</v>
      </c>
      <c r="H9" s="66">
        <v>0</v>
      </c>
      <c r="I9" s="33">
        <f>5000+12500</f>
        <v>17500</v>
      </c>
      <c r="J9" s="66">
        <v>0</v>
      </c>
      <c r="K9" s="33">
        <v>1646.73</v>
      </c>
      <c r="L9" s="66">
        <v>0</v>
      </c>
      <c r="M9" s="33">
        <v>0</v>
      </c>
      <c r="N9" s="66">
        <v>0</v>
      </c>
      <c r="O9" s="33">
        <v>1086.44</v>
      </c>
      <c r="P9" s="34">
        <f>+C9+G9+I9+K9+O9+E9</f>
        <v>91648.5</v>
      </c>
      <c r="Q9" s="34">
        <f>+B9+D9+F9+H9+J9+N9-P9</f>
        <v>-1546.5</v>
      </c>
    </row>
    <row r="10" spans="1:17" ht="17.25">
      <c r="A10" s="31" t="s">
        <v>114</v>
      </c>
      <c r="B10" s="32">
        <v>51854</v>
      </c>
      <c r="C10" s="33">
        <f>360.7+40308.21</f>
        <v>40668.909999999996</v>
      </c>
      <c r="D10" s="66">
        <v>0</v>
      </c>
      <c r="E10" s="33">
        <v>0</v>
      </c>
      <c r="F10" s="66">
        <v>0</v>
      </c>
      <c r="G10" s="33">
        <v>0</v>
      </c>
      <c r="H10" s="66">
        <v>0</v>
      </c>
      <c r="I10" s="33">
        <v>0</v>
      </c>
      <c r="J10" s="66">
        <v>0</v>
      </c>
      <c r="K10" s="33">
        <v>0</v>
      </c>
      <c r="L10" s="66">
        <v>0</v>
      </c>
      <c r="M10" s="33">
        <v>0</v>
      </c>
      <c r="N10" s="66">
        <v>0</v>
      </c>
      <c r="O10" s="33">
        <v>1176.9</v>
      </c>
      <c r="P10" s="34">
        <f>+C10+G10+I10+K10+O10+E10</f>
        <v>41845.81</v>
      </c>
      <c r="Q10" s="34">
        <f>+B10+D10+F10+H10+J10+N10-P10</f>
        <v>10008.190000000002</v>
      </c>
    </row>
    <row r="11" spans="1:17" ht="10.5" customHeight="1">
      <c r="A11" s="31"/>
      <c r="B11" s="32"/>
      <c r="C11" s="33"/>
      <c r="D11" s="32"/>
      <c r="E11" s="33"/>
      <c r="F11" s="32"/>
      <c r="G11" s="33"/>
      <c r="H11" s="32"/>
      <c r="I11" s="33"/>
      <c r="J11" s="32"/>
      <c r="K11" s="33"/>
      <c r="L11" s="32"/>
      <c r="M11" s="33"/>
      <c r="N11" s="32"/>
      <c r="O11" s="33"/>
      <c r="P11" s="34"/>
      <c r="Q11" s="34"/>
    </row>
    <row r="12" spans="1:17" ht="18" thickBot="1">
      <c r="A12" s="38" t="s">
        <v>11</v>
      </c>
      <c r="B12" s="39">
        <f aca="true" t="shared" si="0" ref="B12:Q12">SUM(B8:B10)</f>
        <v>1032525</v>
      </c>
      <c r="C12" s="40">
        <f t="shared" si="0"/>
        <v>843874.48</v>
      </c>
      <c r="D12" s="39">
        <f t="shared" si="0"/>
        <v>69700</v>
      </c>
      <c r="E12" s="40">
        <f t="shared" si="0"/>
        <v>23761.140000000003</v>
      </c>
      <c r="F12" s="39">
        <f>SUM(F8:F11)</f>
        <v>240000</v>
      </c>
      <c r="G12" s="40">
        <f t="shared" si="0"/>
        <v>69182.92</v>
      </c>
      <c r="H12" s="39">
        <f t="shared" si="0"/>
        <v>120000</v>
      </c>
      <c r="I12" s="40">
        <f t="shared" si="0"/>
        <v>210903.23</v>
      </c>
      <c r="J12" s="39">
        <f t="shared" si="0"/>
        <v>7000</v>
      </c>
      <c r="K12" s="40">
        <f t="shared" si="0"/>
        <v>7853.969999999999</v>
      </c>
      <c r="L12" s="39">
        <f t="shared" si="0"/>
        <v>72000</v>
      </c>
      <c r="M12" s="40">
        <f t="shared" si="0"/>
        <v>0</v>
      </c>
      <c r="N12" s="39">
        <f t="shared" si="0"/>
        <v>60000</v>
      </c>
      <c r="O12" s="40">
        <f t="shared" si="0"/>
        <v>54802.850000000006</v>
      </c>
      <c r="P12" s="42">
        <f t="shared" si="0"/>
        <v>1210378.5899999999</v>
      </c>
      <c r="Q12" s="42">
        <f t="shared" si="0"/>
        <v>390846.4100000002</v>
      </c>
    </row>
    <row r="13" spans="1:17" ht="17.25" thickBot="1">
      <c r="A13" s="43" t="s">
        <v>30</v>
      </c>
      <c r="B13" s="86"/>
      <c r="C13" s="91">
        <f>+C12/B12</f>
        <v>0.8172920558824242</v>
      </c>
      <c r="D13" s="91"/>
      <c r="E13" s="91">
        <f>+E12/D12</f>
        <v>0.3409058823529412</v>
      </c>
      <c r="F13" s="91"/>
      <c r="G13" s="91">
        <f>+G12/F12</f>
        <v>0.28826216666666665</v>
      </c>
      <c r="H13" s="91"/>
      <c r="I13" s="91">
        <f>+I12/H12</f>
        <v>1.7575269166666667</v>
      </c>
      <c r="J13" s="87"/>
      <c r="K13" s="91">
        <f>+K12/J12</f>
        <v>1.1219957142857142</v>
      </c>
      <c r="L13" s="88"/>
      <c r="M13" s="145">
        <f>+M12/L12</f>
        <v>0</v>
      </c>
      <c r="N13" s="45"/>
      <c r="O13" s="139">
        <f>+O12/N12</f>
        <v>0.9133808333333334</v>
      </c>
      <c r="P13" s="56"/>
      <c r="Q13" s="92"/>
    </row>
    <row r="14" spans="1:18" ht="16.5">
      <c r="A14" s="49"/>
      <c r="B14" s="49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138"/>
      <c r="Q14" s="5"/>
      <c r="R14" s="5"/>
    </row>
    <row r="41" spans="1:8" ht="16.5">
      <c r="A41" s="51"/>
      <c r="B41" s="51"/>
      <c r="C41" s="51"/>
      <c r="D41" s="51"/>
      <c r="G41" s="51"/>
      <c r="H41" s="51"/>
    </row>
    <row r="43" spans="3:8" ht="16.5">
      <c r="C43" s="50"/>
      <c r="D43" s="5"/>
      <c r="G43" s="51"/>
      <c r="H43" s="51"/>
    </row>
    <row r="44" spans="4:8" ht="16.5">
      <c r="D44" s="5"/>
      <c r="H44" s="51"/>
    </row>
    <row r="45" spans="1:8" ht="16.5">
      <c r="A45" s="60" t="s">
        <v>26</v>
      </c>
      <c r="B45" s="69" t="s">
        <v>27</v>
      </c>
      <c r="C45" s="89" t="s">
        <v>28</v>
      </c>
      <c r="D45" s="5"/>
      <c r="H45" s="51"/>
    </row>
    <row r="46" spans="1:8" ht="17.25">
      <c r="A46" s="62">
        <f>+B12</f>
        <v>1032525</v>
      </c>
      <c r="B46" s="63">
        <f>+C12</f>
        <v>843874.48</v>
      </c>
      <c r="C46" s="89" t="s">
        <v>1</v>
      </c>
      <c r="D46" s="5"/>
      <c r="H46" s="51"/>
    </row>
    <row r="47" spans="1:8" ht="17.25">
      <c r="A47" s="62">
        <f>+D12</f>
        <v>69700</v>
      </c>
      <c r="B47" s="63">
        <f>+E12</f>
        <v>23761.140000000003</v>
      </c>
      <c r="C47" s="89" t="s">
        <v>2</v>
      </c>
      <c r="D47" s="5"/>
      <c r="H47" s="51"/>
    </row>
    <row r="48" spans="1:8" ht="17.25">
      <c r="A48" s="62">
        <f>+F12</f>
        <v>240000</v>
      </c>
      <c r="B48" s="63">
        <f>+G12</f>
        <v>69182.92</v>
      </c>
      <c r="C48" s="89" t="s">
        <v>3</v>
      </c>
      <c r="D48" s="5"/>
      <c r="H48" s="51"/>
    </row>
    <row r="49" spans="1:3" ht="17.25">
      <c r="A49" s="62">
        <f>+H12</f>
        <v>120000</v>
      </c>
      <c r="B49" s="63">
        <f>+I12</f>
        <v>210903.23</v>
      </c>
      <c r="C49" s="60" t="s">
        <v>34</v>
      </c>
    </row>
    <row r="50" spans="1:3" ht="17.25">
      <c r="A50" s="62">
        <f>+J12</f>
        <v>7000</v>
      </c>
      <c r="B50" s="63">
        <f>+K12</f>
        <v>7853.969999999999</v>
      </c>
      <c r="C50" s="60" t="s">
        <v>32</v>
      </c>
    </row>
    <row r="51" spans="1:3" ht="17.25">
      <c r="A51" s="64">
        <f>+L12</f>
        <v>72000</v>
      </c>
      <c r="B51" s="63">
        <f>+M12</f>
        <v>0</v>
      </c>
      <c r="C51" s="60" t="s">
        <v>97</v>
      </c>
    </row>
    <row r="52" spans="1:3" ht="17.25">
      <c r="A52" s="62">
        <f>+N12</f>
        <v>60000</v>
      </c>
      <c r="B52" s="63">
        <f>+O12</f>
        <v>54802.850000000006</v>
      </c>
      <c r="C52" s="60" t="s">
        <v>35</v>
      </c>
    </row>
    <row r="53" spans="1:3" ht="17.25">
      <c r="A53" s="62">
        <v>565834</v>
      </c>
      <c r="B53" s="63">
        <v>158443.27</v>
      </c>
      <c r="C53" s="93"/>
    </row>
    <row r="54" ht="16.5">
      <c r="C54" s="93"/>
    </row>
    <row r="55" ht="16.5">
      <c r="C55" s="93"/>
    </row>
  </sheetData>
  <mergeCells count="9">
    <mergeCell ref="B2:E2"/>
    <mergeCell ref="I2:J2"/>
    <mergeCell ref="B3:C3"/>
    <mergeCell ref="J6:K6"/>
    <mergeCell ref="N6:O6"/>
    <mergeCell ref="B6:C6"/>
    <mergeCell ref="D6:E6"/>
    <mergeCell ref="F6:G6"/>
    <mergeCell ref="H6:I6"/>
  </mergeCells>
  <printOptions/>
  <pageMargins left="0.91" right="0.63" top="0.83" bottom="0.5" header="0.38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A1">
      <selection activeCell="N14" sqref="N14"/>
    </sheetView>
  </sheetViews>
  <sheetFormatPr defaultColWidth="11.421875" defaultRowHeight="15"/>
  <cols>
    <col min="1" max="1" width="8.28125" style="1" customWidth="1"/>
    <col min="2" max="2" width="8.7109375" style="1" customWidth="1"/>
    <col min="3" max="3" width="10.57421875" style="1" customWidth="1"/>
    <col min="4" max="4" width="7.8515625" style="1" customWidth="1"/>
    <col min="5" max="5" width="8.7109375" style="1" customWidth="1"/>
    <col min="6" max="6" width="7.57421875" style="1" customWidth="1"/>
    <col min="7" max="7" width="10.00390625" style="1" customWidth="1"/>
    <col min="8" max="8" width="7.28125" style="1" customWidth="1"/>
    <col min="9" max="9" width="9.140625" style="1" customWidth="1"/>
    <col min="10" max="10" width="7.421875" style="1" customWidth="1"/>
    <col min="11" max="11" width="9.28125" style="1" customWidth="1"/>
    <col min="12" max="12" width="7.28125" style="1" customWidth="1"/>
    <col min="13" max="13" width="9.140625" style="1" customWidth="1"/>
    <col min="14" max="15" width="10.57421875" style="1" customWidth="1"/>
    <col min="16" max="16" width="11.8515625" style="1" bestFit="1" customWidth="1"/>
    <col min="17" max="16384" width="11.421875" style="1" customWidth="1"/>
  </cols>
  <sheetData>
    <row r="2" spans="1:12" ht="18">
      <c r="A2" s="144" t="s">
        <v>0</v>
      </c>
      <c r="B2" s="169" t="s">
        <v>115</v>
      </c>
      <c r="C2" s="185"/>
      <c r="D2" s="174"/>
      <c r="E2" s="174"/>
      <c r="I2" s="178" t="s">
        <v>23</v>
      </c>
      <c r="J2" s="178"/>
      <c r="K2" s="148">
        <v>40817</v>
      </c>
      <c r="L2" s="20"/>
    </row>
    <row r="3" spans="2:4" ht="16.5">
      <c r="B3" s="183"/>
      <c r="C3" s="184"/>
      <c r="D3" s="94"/>
    </row>
    <row r="5" ht="17.25" thickBot="1"/>
    <row r="6" spans="1:15" ht="17.25">
      <c r="A6" s="25"/>
      <c r="B6" s="176" t="s">
        <v>1</v>
      </c>
      <c r="C6" s="177"/>
      <c r="D6" s="176" t="s">
        <v>2</v>
      </c>
      <c r="E6" s="177"/>
      <c r="F6" s="176" t="s">
        <v>3</v>
      </c>
      <c r="G6" s="177"/>
      <c r="H6" s="176" t="s">
        <v>4</v>
      </c>
      <c r="I6" s="177"/>
      <c r="J6" s="176" t="s">
        <v>32</v>
      </c>
      <c r="K6" s="177"/>
      <c r="L6" s="176" t="s">
        <v>33</v>
      </c>
      <c r="M6" s="177"/>
      <c r="N6" s="26" t="s">
        <v>5</v>
      </c>
      <c r="O6" s="26" t="s">
        <v>38</v>
      </c>
    </row>
    <row r="7" spans="1:15" ht="17.25">
      <c r="A7" s="27"/>
      <c r="B7" s="28" t="s">
        <v>31</v>
      </c>
      <c r="C7" s="28" t="s">
        <v>37</v>
      </c>
      <c r="D7" s="28" t="s">
        <v>31</v>
      </c>
      <c r="E7" s="28" t="s">
        <v>37</v>
      </c>
      <c r="F7" s="28" t="s">
        <v>31</v>
      </c>
      <c r="G7" s="28" t="s">
        <v>37</v>
      </c>
      <c r="H7" s="28" t="s">
        <v>31</v>
      </c>
      <c r="I7" s="28" t="s">
        <v>37</v>
      </c>
      <c r="J7" s="28" t="s">
        <v>31</v>
      </c>
      <c r="K7" s="28" t="s">
        <v>37</v>
      </c>
      <c r="L7" s="28" t="s">
        <v>31</v>
      </c>
      <c r="M7" s="28" t="s">
        <v>37</v>
      </c>
      <c r="N7" s="29" t="s">
        <v>25</v>
      </c>
      <c r="O7" s="30" t="s">
        <v>39</v>
      </c>
    </row>
    <row r="8" spans="1:15" ht="16.5">
      <c r="A8" s="95"/>
      <c r="B8" s="96"/>
      <c r="C8" s="33"/>
      <c r="D8" s="36"/>
      <c r="E8" s="33"/>
      <c r="F8" s="36"/>
      <c r="G8" s="33"/>
      <c r="H8" s="36"/>
      <c r="I8" s="33"/>
      <c r="J8" s="36"/>
      <c r="K8" s="33"/>
      <c r="L8" s="36"/>
      <c r="M8" s="33"/>
      <c r="N8" s="34"/>
      <c r="O8" s="34"/>
    </row>
    <row r="9" spans="1:16" ht="17.25">
      <c r="A9" s="31" t="s">
        <v>90</v>
      </c>
      <c r="B9" s="55">
        <v>336693</v>
      </c>
      <c r="C9" s="33">
        <f>1935.28+272146.92</f>
        <v>274082.2</v>
      </c>
      <c r="D9" s="74">
        <v>2170</v>
      </c>
      <c r="E9" s="33">
        <v>101.2</v>
      </c>
      <c r="F9" s="74">
        <v>125960</v>
      </c>
      <c r="G9" s="33">
        <f>50.78+48660.1</f>
        <v>48710.88</v>
      </c>
      <c r="H9" s="74">
        <v>0</v>
      </c>
      <c r="I9" s="33">
        <v>0</v>
      </c>
      <c r="J9" s="74">
        <v>0</v>
      </c>
      <c r="K9" s="33">
        <v>8271.81</v>
      </c>
      <c r="L9" s="74">
        <v>0</v>
      </c>
      <c r="M9" s="33">
        <v>19383.44</v>
      </c>
      <c r="N9" s="34">
        <f>+M9+K9+I9+G9+E9+C9</f>
        <v>350549.53</v>
      </c>
      <c r="O9" s="34">
        <f>+B9+D9+F9+H9+J9+L9-N9</f>
        <v>114273.46999999997</v>
      </c>
      <c r="P9" s="5"/>
    </row>
    <row r="10" spans="1:15" ht="16.5">
      <c r="A10" s="95"/>
      <c r="B10" s="96"/>
      <c r="C10" s="33"/>
      <c r="D10" s="36"/>
      <c r="E10" s="33"/>
      <c r="F10" s="36"/>
      <c r="G10" s="33"/>
      <c r="H10" s="36"/>
      <c r="I10" s="33"/>
      <c r="J10" s="36"/>
      <c r="K10" s="33"/>
      <c r="L10" s="36"/>
      <c r="M10" s="33"/>
      <c r="N10" s="34"/>
      <c r="O10" s="34"/>
    </row>
    <row r="11" spans="1:15" ht="16.5">
      <c r="A11" s="95"/>
      <c r="B11" s="96"/>
      <c r="C11" s="33"/>
      <c r="D11" s="36"/>
      <c r="E11" s="33"/>
      <c r="F11" s="36"/>
      <c r="G11" s="33"/>
      <c r="H11" s="36"/>
      <c r="I11" s="33"/>
      <c r="J11" s="36"/>
      <c r="K11" s="33"/>
      <c r="L11" s="36"/>
      <c r="M11" s="33"/>
      <c r="N11" s="34"/>
      <c r="O11" s="34"/>
    </row>
    <row r="12" spans="1:15" ht="18" thickBot="1">
      <c r="A12" s="38" t="s">
        <v>11</v>
      </c>
      <c r="B12" s="39">
        <f>SUM(B9:B11)</f>
        <v>336693</v>
      </c>
      <c r="C12" s="40">
        <f>SUM(C9)</f>
        <v>274082.2</v>
      </c>
      <c r="D12" s="39">
        <f>SUM(D9:D11)</f>
        <v>2170</v>
      </c>
      <c r="E12" s="40">
        <f>SUM(E9)</f>
        <v>101.2</v>
      </c>
      <c r="F12" s="39">
        <f>SUM(F9:F11)</f>
        <v>125960</v>
      </c>
      <c r="G12" s="40">
        <f>SUM(G9)</f>
        <v>48710.88</v>
      </c>
      <c r="H12" s="97">
        <f>SUM(H9:H11)</f>
        <v>0</v>
      </c>
      <c r="I12" s="40">
        <v>0</v>
      </c>
      <c r="J12" s="39">
        <f>SUM(J9:J11)</f>
        <v>0</v>
      </c>
      <c r="K12" s="40">
        <f>SUM(K9)</f>
        <v>8271.81</v>
      </c>
      <c r="L12" s="39">
        <f>SUM(L9:L11)</f>
        <v>0</v>
      </c>
      <c r="M12" s="40">
        <f>SUM(M9)</f>
        <v>19383.44</v>
      </c>
      <c r="N12" s="42">
        <f>SUM(N9)</f>
        <v>350549.53</v>
      </c>
      <c r="O12" s="42">
        <f>SUM(O9)</f>
        <v>114273.46999999997</v>
      </c>
    </row>
    <row r="13" spans="1:15" ht="17.25" thickBot="1">
      <c r="A13" s="43" t="s">
        <v>30</v>
      </c>
      <c r="B13" s="86"/>
      <c r="C13" s="91">
        <f>+C12/B12</f>
        <v>0.8140418719723903</v>
      </c>
      <c r="D13" s="87"/>
      <c r="E13" s="91">
        <f>+E12/D12</f>
        <v>0.046635944700460834</v>
      </c>
      <c r="F13" s="87"/>
      <c r="G13" s="91">
        <f>+G12/F12</f>
        <v>0.38671705303270876</v>
      </c>
      <c r="H13" s="87"/>
      <c r="I13" s="87"/>
      <c r="J13" s="87"/>
      <c r="K13" s="47"/>
      <c r="L13" s="45"/>
      <c r="M13" s="139"/>
      <c r="N13" s="56"/>
      <c r="O13" s="5"/>
    </row>
    <row r="14" spans="1:14" ht="16.5">
      <c r="A14" s="49"/>
      <c r="B14" s="49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138"/>
    </row>
    <row r="33" spans="5:10" ht="16.5">
      <c r="E33" s="59"/>
      <c r="F33" s="59"/>
      <c r="J33" s="59"/>
    </row>
    <row r="44" spans="1:8" ht="16.5">
      <c r="A44" s="51"/>
      <c r="B44" s="51"/>
      <c r="C44" s="51"/>
      <c r="D44" s="51"/>
      <c r="G44" s="51"/>
      <c r="H44" s="51"/>
    </row>
    <row r="46" spans="3:8" ht="16.5">
      <c r="C46" s="5"/>
      <c r="D46" s="5"/>
      <c r="G46" s="51"/>
      <c r="H46" s="51"/>
    </row>
    <row r="47" spans="4:8" ht="16.5">
      <c r="D47" s="5"/>
      <c r="H47" s="51"/>
    </row>
    <row r="48" spans="1:8" ht="16.5">
      <c r="A48" s="69" t="s">
        <v>26</v>
      </c>
      <c r="B48" s="69" t="s">
        <v>27</v>
      </c>
      <c r="C48" s="89" t="s">
        <v>28</v>
      </c>
      <c r="D48" s="5"/>
      <c r="H48" s="51"/>
    </row>
    <row r="49" spans="1:8" ht="17.25">
      <c r="A49" s="63">
        <f>+B12</f>
        <v>336693</v>
      </c>
      <c r="B49" s="63">
        <f>+C12</f>
        <v>274082.2</v>
      </c>
      <c r="C49" s="89" t="s">
        <v>1</v>
      </c>
      <c r="D49" s="5"/>
      <c r="H49" s="51"/>
    </row>
    <row r="50" spans="1:8" ht="17.25">
      <c r="A50" s="63">
        <f>+D12</f>
        <v>2170</v>
      </c>
      <c r="B50" s="63">
        <f>+E12</f>
        <v>101.2</v>
      </c>
      <c r="C50" s="89" t="s">
        <v>2</v>
      </c>
      <c r="D50" s="5"/>
      <c r="H50" s="51"/>
    </row>
    <row r="51" spans="1:8" ht="17.25">
      <c r="A51" s="63">
        <f>+F12</f>
        <v>125960</v>
      </c>
      <c r="B51" s="63">
        <f>+G12</f>
        <v>48710.88</v>
      </c>
      <c r="C51" s="89" t="s">
        <v>3</v>
      </c>
      <c r="D51" s="5"/>
      <c r="H51" s="51"/>
    </row>
    <row r="52" spans="1:3" ht="17.25">
      <c r="A52" s="63">
        <f>+J12</f>
        <v>0</v>
      </c>
      <c r="B52" s="63">
        <f>+K12</f>
        <v>8271.81</v>
      </c>
      <c r="C52" s="60" t="s">
        <v>32</v>
      </c>
    </row>
    <row r="53" spans="1:3" ht="17.25">
      <c r="A53" s="63">
        <f>+L12</f>
        <v>0</v>
      </c>
      <c r="B53" s="63">
        <f>+M12</f>
        <v>19383.44</v>
      </c>
      <c r="C53" s="60" t="s">
        <v>35</v>
      </c>
    </row>
    <row r="54" spans="1:2" ht="17.25">
      <c r="A54" s="62"/>
      <c r="B54" s="62"/>
    </row>
    <row r="55" spans="1:2" ht="17.25">
      <c r="A55" s="62">
        <v>167558</v>
      </c>
      <c r="B55" s="63">
        <v>40952.32</v>
      </c>
    </row>
    <row r="56" spans="1:2" ht="17.25">
      <c r="A56" s="62"/>
      <c r="B56" s="62"/>
    </row>
  </sheetData>
  <mergeCells count="9">
    <mergeCell ref="B2:E2"/>
    <mergeCell ref="F6:G6"/>
    <mergeCell ref="B3:C3"/>
    <mergeCell ref="D6:E6"/>
    <mergeCell ref="B6:C6"/>
    <mergeCell ref="I2:J2"/>
    <mergeCell ref="L6:M6"/>
    <mergeCell ref="J6:K6"/>
    <mergeCell ref="H6:I6"/>
  </mergeCells>
  <printOptions/>
  <pageMargins left="2.28" right="0.75" top="0.88" bottom="0.54" header="0.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B22">
      <selection activeCell="S17" sqref="S17"/>
    </sheetView>
  </sheetViews>
  <sheetFormatPr defaultColWidth="11.421875" defaultRowHeight="15"/>
  <cols>
    <col min="1" max="1" width="13.7109375" style="1" customWidth="1"/>
    <col min="2" max="2" width="10.57421875" style="1" customWidth="1"/>
    <col min="3" max="3" width="13.421875" style="1" customWidth="1"/>
    <col min="4" max="4" width="9.140625" style="1" customWidth="1"/>
    <col min="5" max="5" width="12.57421875" style="1" customWidth="1"/>
    <col min="6" max="6" width="9.421875" style="1" customWidth="1"/>
    <col min="7" max="7" width="11.8515625" style="1" customWidth="1"/>
    <col min="8" max="8" width="7.421875" style="1" customWidth="1"/>
    <col min="9" max="9" width="10.57421875" style="1" customWidth="1"/>
    <col min="10" max="10" width="7.57421875" style="1" customWidth="1"/>
    <col min="11" max="11" width="10.140625" style="1" customWidth="1"/>
    <col min="12" max="12" width="7.57421875" style="1" customWidth="1"/>
    <col min="13" max="13" width="12.421875" style="1" customWidth="1"/>
    <col min="14" max="14" width="8.7109375" style="1" customWidth="1"/>
    <col min="15" max="15" width="12.421875" style="1" customWidth="1"/>
    <col min="16" max="16" width="13.140625" style="1" customWidth="1"/>
    <col min="17" max="17" width="12.140625" style="1" customWidth="1"/>
    <col min="18" max="18" width="0.9921875" style="1" customWidth="1"/>
    <col min="19" max="16384" width="11.421875" style="1" customWidth="1"/>
  </cols>
  <sheetData>
    <row r="1" spans="1:15" ht="18">
      <c r="A1" s="144" t="s">
        <v>0</v>
      </c>
      <c r="B1" s="169" t="s">
        <v>116</v>
      </c>
      <c r="C1" s="167"/>
      <c r="D1" s="167"/>
      <c r="E1" s="167"/>
      <c r="F1" s="181"/>
      <c r="L1" s="178" t="s">
        <v>23</v>
      </c>
      <c r="M1" s="179"/>
      <c r="N1" s="148">
        <v>40817</v>
      </c>
      <c r="O1" s="23"/>
    </row>
    <row r="2" spans="2:4" ht="4.5" customHeight="1">
      <c r="B2" s="183"/>
      <c r="C2" s="184"/>
      <c r="D2" s="184"/>
    </row>
    <row r="3" ht="17.25" thickBot="1"/>
    <row r="4" spans="1:17" ht="17.25">
      <c r="A4" s="25"/>
      <c r="B4" s="176" t="s">
        <v>1</v>
      </c>
      <c r="C4" s="177"/>
      <c r="D4" s="176" t="s">
        <v>2</v>
      </c>
      <c r="E4" s="177"/>
      <c r="F4" s="176" t="s">
        <v>3</v>
      </c>
      <c r="G4" s="177"/>
      <c r="H4" s="176" t="s">
        <v>34</v>
      </c>
      <c r="I4" s="177"/>
      <c r="J4" s="176" t="s">
        <v>32</v>
      </c>
      <c r="K4" s="177"/>
      <c r="L4" s="176" t="s">
        <v>36</v>
      </c>
      <c r="M4" s="177"/>
      <c r="N4" s="176" t="s">
        <v>33</v>
      </c>
      <c r="O4" s="177"/>
      <c r="P4" s="26" t="s">
        <v>5</v>
      </c>
      <c r="Q4" s="26" t="s">
        <v>38</v>
      </c>
    </row>
    <row r="5" spans="1:17" ht="17.25">
      <c r="A5" s="27"/>
      <c r="B5" s="28" t="s">
        <v>31</v>
      </c>
      <c r="C5" s="28" t="s">
        <v>37</v>
      </c>
      <c r="D5" s="28" t="s">
        <v>31</v>
      </c>
      <c r="E5" s="28" t="s">
        <v>37</v>
      </c>
      <c r="F5" s="28" t="s">
        <v>31</v>
      </c>
      <c r="G5" s="28" t="s">
        <v>37</v>
      </c>
      <c r="H5" s="28" t="s">
        <v>31</v>
      </c>
      <c r="I5" s="28" t="s">
        <v>37</v>
      </c>
      <c r="J5" s="28" t="s">
        <v>31</v>
      </c>
      <c r="K5" s="28" t="s">
        <v>37</v>
      </c>
      <c r="L5" s="28" t="s">
        <v>31</v>
      </c>
      <c r="M5" s="28" t="s">
        <v>37</v>
      </c>
      <c r="N5" s="28" t="s">
        <v>31</v>
      </c>
      <c r="O5" s="28" t="s">
        <v>37</v>
      </c>
      <c r="P5" s="124" t="s">
        <v>25</v>
      </c>
      <c r="Q5" s="30" t="s">
        <v>39</v>
      </c>
    </row>
    <row r="6" spans="1:18" ht="17.25">
      <c r="A6" s="31" t="s">
        <v>14</v>
      </c>
      <c r="B6" s="32">
        <f>946485+5800000</f>
        <v>6746485</v>
      </c>
      <c r="C6" s="33">
        <f>7730.94+576113.36+3+58529.33+2296.99+108410.48</f>
        <v>753084.0999999999</v>
      </c>
      <c r="D6" s="66">
        <f>27630+80000+400000+800000</f>
        <v>1307630</v>
      </c>
      <c r="E6" s="33">
        <f>805.24+71083.22</f>
        <v>71888.46</v>
      </c>
      <c r="F6" s="66">
        <f>167890+300000+500000+200000+700000</f>
        <v>1867890</v>
      </c>
      <c r="G6" s="33">
        <f>23534.65+331762.74</f>
        <v>355297.39</v>
      </c>
      <c r="H6" s="66">
        <v>230000</v>
      </c>
      <c r="I6" s="33">
        <f>18166+86022.9</f>
        <v>104188.9</v>
      </c>
      <c r="J6" s="66">
        <f>31200+145000</f>
        <v>176200</v>
      </c>
      <c r="K6" s="33">
        <v>275.99</v>
      </c>
      <c r="L6" s="66">
        <v>0</v>
      </c>
      <c r="M6" s="33">
        <f>11958.75+61743.9</f>
        <v>73702.65</v>
      </c>
      <c r="N6" s="66">
        <f>176000+540000</f>
        <v>716000</v>
      </c>
      <c r="O6" s="33">
        <v>668742.55</v>
      </c>
      <c r="P6" s="34">
        <f aca="true" t="shared" si="0" ref="P6:P12">+O6+M6+K6+I6+G6+E6+C6</f>
        <v>2027180.0399999998</v>
      </c>
      <c r="Q6" s="34">
        <f aca="true" t="shared" si="1" ref="Q6:Q12">+B6+D6+F6+H6+J6+L6+N6-P6</f>
        <v>9017024.96</v>
      </c>
      <c r="R6" s="5"/>
    </row>
    <row r="7" spans="1:18" ht="17.25">
      <c r="A7" s="31" t="s">
        <v>117</v>
      </c>
      <c r="B7" s="32">
        <v>1334282</v>
      </c>
      <c r="C7" s="33">
        <f>6577.01+677727.11+1928.17+336463.28+19445.11+294457.27</f>
        <v>1336597.9500000002</v>
      </c>
      <c r="D7" s="66">
        <v>81672</v>
      </c>
      <c r="E7" s="33">
        <f>11790.89+106098.36</f>
        <v>117889.25</v>
      </c>
      <c r="F7" s="66">
        <v>279689</v>
      </c>
      <c r="G7" s="33">
        <f>51679.69+291412.8+52493.37</f>
        <v>395585.86</v>
      </c>
      <c r="H7" s="66">
        <v>0</v>
      </c>
      <c r="I7" s="33">
        <f>7600+19005.84</f>
        <v>26605.84</v>
      </c>
      <c r="J7" s="66">
        <v>0</v>
      </c>
      <c r="K7" s="33">
        <f>1918.01+11752.84</f>
        <v>13670.85</v>
      </c>
      <c r="L7" s="66">
        <v>45000</v>
      </c>
      <c r="M7" s="33">
        <v>41971.02</v>
      </c>
      <c r="N7" s="66">
        <v>0</v>
      </c>
      <c r="O7" s="33">
        <v>29548.17</v>
      </c>
      <c r="P7" s="34">
        <f>+O7+M7+K7+I7+G7+E7+C7</f>
        <v>1961868.9400000002</v>
      </c>
      <c r="Q7" s="34">
        <f t="shared" si="1"/>
        <v>-221225.94000000018</v>
      </c>
      <c r="R7" s="5"/>
    </row>
    <row r="8" spans="1:18" ht="17.25">
      <c r="A8" s="31" t="s">
        <v>118</v>
      </c>
      <c r="B8" s="32">
        <v>4954501</v>
      </c>
      <c r="C8" s="33">
        <f>78274.19+5006402.64</f>
        <v>5084676.83</v>
      </c>
      <c r="D8" s="66">
        <f>862748+130000</f>
        <v>992748</v>
      </c>
      <c r="E8" s="33">
        <f>158559.25+1698019.12</f>
        <v>1856578.37</v>
      </c>
      <c r="F8" s="66">
        <f>1295278+200000</f>
        <v>1495278</v>
      </c>
      <c r="G8" s="33">
        <f>111721.73+1091125.98</f>
        <v>1202847.71</v>
      </c>
      <c r="H8" s="66">
        <v>0</v>
      </c>
      <c r="I8" s="33">
        <v>400</v>
      </c>
      <c r="J8" s="66">
        <f>150000-125000</f>
        <v>25000</v>
      </c>
      <c r="K8" s="33">
        <f>9200+41684.95</f>
        <v>50884.95</v>
      </c>
      <c r="L8" s="66">
        <v>0</v>
      </c>
      <c r="M8" s="33">
        <v>565.3</v>
      </c>
      <c r="N8" s="66">
        <v>0</v>
      </c>
      <c r="O8" s="33">
        <v>149534.16</v>
      </c>
      <c r="P8" s="34">
        <f t="shared" si="0"/>
        <v>8345487.32</v>
      </c>
      <c r="Q8" s="34">
        <f t="shared" si="1"/>
        <v>-877960.3200000003</v>
      </c>
      <c r="R8" s="156"/>
    </row>
    <row r="9" spans="1:17" ht="17.25">
      <c r="A9" s="31" t="s">
        <v>40</v>
      </c>
      <c r="B9" s="32">
        <v>2762032</v>
      </c>
      <c r="C9" s="33">
        <f>187896.37+2586521.08+5915.7+40287.56</f>
        <v>2820620.7100000004</v>
      </c>
      <c r="D9" s="66">
        <v>717277</v>
      </c>
      <c r="E9" s="33">
        <f>45506.42+971641.2</f>
        <v>1017147.62</v>
      </c>
      <c r="F9" s="66">
        <v>326109</v>
      </c>
      <c r="G9" s="33">
        <f>1826.19+274899.86</f>
        <v>276726.05</v>
      </c>
      <c r="H9" s="66">
        <v>0</v>
      </c>
      <c r="I9" s="33">
        <v>2445.9</v>
      </c>
      <c r="J9" s="66">
        <v>0</v>
      </c>
      <c r="K9" s="33">
        <v>39796.12</v>
      </c>
      <c r="L9" s="66">
        <v>0</v>
      </c>
      <c r="M9" s="33">
        <f>40451.35+289524.37</f>
        <v>329975.72</v>
      </c>
      <c r="N9" s="66">
        <v>0</v>
      </c>
      <c r="O9" s="33">
        <v>101635.04</v>
      </c>
      <c r="P9" s="34">
        <f t="shared" si="0"/>
        <v>4588347.16</v>
      </c>
      <c r="Q9" s="34">
        <f t="shared" si="1"/>
        <v>-782929.1600000001</v>
      </c>
    </row>
    <row r="10" spans="1:17" ht="17.25">
      <c r="A10" s="31" t="s">
        <v>119</v>
      </c>
      <c r="B10" s="32">
        <v>112772</v>
      </c>
      <c r="C10" s="33">
        <f>11333.1+91600.99</f>
        <v>102934.09000000001</v>
      </c>
      <c r="D10" s="98">
        <v>598650</v>
      </c>
      <c r="E10" s="78">
        <f>163.5+103967.65</f>
        <v>104131.15</v>
      </c>
      <c r="F10" s="98">
        <v>0</v>
      </c>
      <c r="G10" s="78">
        <f>1997.5+14555</f>
        <v>16552.5</v>
      </c>
      <c r="H10" s="98">
        <v>0</v>
      </c>
      <c r="I10" s="78">
        <v>0</v>
      </c>
      <c r="J10" s="98">
        <v>13042</v>
      </c>
      <c r="K10" s="78">
        <v>1478</v>
      </c>
      <c r="L10" s="98">
        <v>200000</v>
      </c>
      <c r="M10" s="78">
        <f>2199.2+33506.06</f>
        <v>35705.259999999995</v>
      </c>
      <c r="N10" s="98">
        <v>0</v>
      </c>
      <c r="O10" s="78">
        <v>2862</v>
      </c>
      <c r="P10" s="34">
        <f t="shared" si="0"/>
        <v>263663</v>
      </c>
      <c r="Q10" s="34">
        <f t="shared" si="1"/>
        <v>660801</v>
      </c>
    </row>
    <row r="11" spans="1:17" ht="17.25">
      <c r="A11" s="31" t="s">
        <v>120</v>
      </c>
      <c r="B11" s="32">
        <v>602963</v>
      </c>
      <c r="C11" s="33">
        <f>85428.63+552990.86</f>
        <v>638419.49</v>
      </c>
      <c r="D11" s="66">
        <v>314491</v>
      </c>
      <c r="E11" s="33">
        <f>4874+442956.91</f>
        <v>447830.91</v>
      </c>
      <c r="F11" s="66">
        <f>1500000-250000</f>
        <v>1250000</v>
      </c>
      <c r="G11" s="33">
        <f>161276.4+1667817.3</f>
        <v>1829093.7</v>
      </c>
      <c r="H11" s="98">
        <v>0</v>
      </c>
      <c r="I11" s="33">
        <v>0</v>
      </c>
      <c r="J11" s="98">
        <v>0</v>
      </c>
      <c r="K11" s="33">
        <v>0</v>
      </c>
      <c r="L11" s="98">
        <v>0</v>
      </c>
      <c r="M11" s="33">
        <v>0</v>
      </c>
      <c r="N11" s="98">
        <v>0</v>
      </c>
      <c r="O11" s="33">
        <v>19926.28</v>
      </c>
      <c r="P11" s="34">
        <f t="shared" si="0"/>
        <v>2935270.38</v>
      </c>
      <c r="Q11" s="34">
        <f t="shared" si="1"/>
        <v>-767816.3799999999</v>
      </c>
    </row>
    <row r="12" spans="1:17" ht="17.25">
      <c r="A12" s="31" t="s">
        <v>78</v>
      </c>
      <c r="B12" s="32">
        <v>4409449</v>
      </c>
      <c r="C12" s="33">
        <f>824581.06+2861844.4+109495.33+292078.96+8507.56+29591.65+8986.75+34333.97</f>
        <v>4169419.68</v>
      </c>
      <c r="D12" s="66">
        <v>179571</v>
      </c>
      <c r="E12" s="33">
        <f>33632.5+340332.46</f>
        <v>373964.96</v>
      </c>
      <c r="F12" s="66">
        <v>381061</v>
      </c>
      <c r="G12" s="33">
        <f>36821.95+480848.46+1700+15300</f>
        <v>534670.41</v>
      </c>
      <c r="H12" s="66">
        <v>2000</v>
      </c>
      <c r="I12" s="33">
        <v>0</v>
      </c>
      <c r="J12" s="66">
        <v>1250</v>
      </c>
      <c r="K12" s="33">
        <f>260+112276.4</f>
        <v>112536.4</v>
      </c>
      <c r="L12" s="66">
        <v>650000</v>
      </c>
      <c r="M12" s="33">
        <f>86875.03+662496.87</f>
        <v>749371.9</v>
      </c>
      <c r="N12" s="66">
        <v>0</v>
      </c>
      <c r="O12" s="33">
        <v>104236.66</v>
      </c>
      <c r="P12" s="34">
        <f t="shared" si="0"/>
        <v>6044200.01</v>
      </c>
      <c r="Q12" s="34">
        <f t="shared" si="1"/>
        <v>-420869.0099999998</v>
      </c>
    </row>
    <row r="13" spans="1:18" ht="18" thickBot="1">
      <c r="A13" s="38" t="s">
        <v>11</v>
      </c>
      <c r="B13" s="39">
        <f aca="true" t="shared" si="2" ref="B13:Q13">SUM(B6:B12)</f>
        <v>20922484</v>
      </c>
      <c r="C13" s="40">
        <f t="shared" si="2"/>
        <v>14905752.85</v>
      </c>
      <c r="D13" s="39">
        <f t="shared" si="2"/>
        <v>4192039</v>
      </c>
      <c r="E13" s="40">
        <f t="shared" si="2"/>
        <v>3989430.72</v>
      </c>
      <c r="F13" s="39">
        <f t="shared" si="2"/>
        <v>5600027</v>
      </c>
      <c r="G13" s="40">
        <f t="shared" si="2"/>
        <v>4610773.62</v>
      </c>
      <c r="H13" s="39">
        <f t="shared" si="2"/>
        <v>232000</v>
      </c>
      <c r="I13" s="40">
        <f t="shared" si="2"/>
        <v>133640.63999999998</v>
      </c>
      <c r="J13" s="39">
        <f t="shared" si="2"/>
        <v>215492</v>
      </c>
      <c r="K13" s="40">
        <f t="shared" si="2"/>
        <v>218642.31</v>
      </c>
      <c r="L13" s="39">
        <f t="shared" si="2"/>
        <v>895000</v>
      </c>
      <c r="M13" s="40">
        <f t="shared" si="2"/>
        <v>1231291.85</v>
      </c>
      <c r="N13" s="39">
        <f t="shared" si="2"/>
        <v>716000</v>
      </c>
      <c r="O13" s="40">
        <f t="shared" si="2"/>
        <v>1076484.86</v>
      </c>
      <c r="P13" s="42">
        <f t="shared" si="2"/>
        <v>26166016.85</v>
      </c>
      <c r="Q13" s="42">
        <f t="shared" si="2"/>
        <v>6607025.150000001</v>
      </c>
      <c r="R13" s="5"/>
    </row>
    <row r="14" spans="1:17" ht="17.25" thickBot="1">
      <c r="A14" s="38" t="s">
        <v>30</v>
      </c>
      <c r="B14" s="86"/>
      <c r="C14" s="91">
        <f>+C13/B13</f>
        <v>0.7124274942688449</v>
      </c>
      <c r="D14" s="91"/>
      <c r="E14" s="91">
        <f>+E13/D13</f>
        <v>0.9516683217880368</v>
      </c>
      <c r="F14" s="91"/>
      <c r="G14" s="91">
        <f>+G13/F13</f>
        <v>0.8233484624270562</v>
      </c>
      <c r="H14" s="91"/>
      <c r="I14" s="91">
        <f>+I13/H13</f>
        <v>0.5760372413793102</v>
      </c>
      <c r="J14" s="91"/>
      <c r="K14" s="91">
        <f>+K13/J13</f>
        <v>1.0146191505949176</v>
      </c>
      <c r="L14" s="146"/>
      <c r="M14" s="145">
        <f>+M13/L13</f>
        <v>1.3757450837988827</v>
      </c>
      <c r="N14" s="45"/>
      <c r="O14" s="139">
        <f>+O13/N13</f>
        <v>1.5034704748603354</v>
      </c>
      <c r="P14" s="56"/>
      <c r="Q14" s="5"/>
    </row>
    <row r="15" spans="1:17" ht="16.5">
      <c r="A15" s="49"/>
      <c r="B15" s="49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138"/>
      <c r="Q15" s="5"/>
    </row>
    <row r="16" ht="16.5">
      <c r="Q16" s="5"/>
    </row>
    <row r="33" ht="16.5">
      <c r="J33" s="59"/>
    </row>
    <row r="38" spans="1:6" ht="16.5">
      <c r="A38" s="51"/>
      <c r="B38" s="51"/>
      <c r="C38" s="51"/>
      <c r="D38" s="51"/>
      <c r="E38" s="51"/>
      <c r="F38" s="51"/>
    </row>
    <row r="40" spans="3:6" ht="16.5">
      <c r="C40" s="50"/>
      <c r="D40" s="5"/>
      <c r="E40" s="51"/>
      <c r="F40" s="51"/>
    </row>
    <row r="41" spans="3:6" ht="16.5">
      <c r="C41" s="50"/>
      <c r="D41" s="5"/>
      <c r="E41" s="51"/>
      <c r="F41" s="51"/>
    </row>
    <row r="42" spans="3:6" ht="16.5">
      <c r="C42" s="50"/>
      <c r="D42" s="5"/>
      <c r="E42" s="51"/>
      <c r="F42" s="51"/>
    </row>
    <row r="43" spans="1:6" ht="16.5">
      <c r="A43" s="76"/>
      <c r="C43" s="50"/>
      <c r="D43" s="5"/>
      <c r="E43" s="51"/>
      <c r="F43" s="51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6" spans="3:6" ht="16.5">
      <c r="C46" s="50"/>
      <c r="D46" s="5"/>
      <c r="E46" s="51"/>
      <c r="F46" s="51"/>
    </row>
    <row r="47" ht="16.5">
      <c r="C47" s="48"/>
    </row>
    <row r="49" spans="1:4" ht="16.5">
      <c r="A49" s="60" t="s">
        <v>26</v>
      </c>
      <c r="B49" s="69" t="s">
        <v>27</v>
      </c>
      <c r="C49" s="60" t="s">
        <v>28</v>
      </c>
      <c r="D49" s="60"/>
    </row>
    <row r="50" spans="1:3" ht="17.25">
      <c r="A50" s="62">
        <f>+B13</f>
        <v>20922484</v>
      </c>
      <c r="B50" s="63">
        <f>+C13</f>
        <v>14905752.85</v>
      </c>
      <c r="C50" s="60" t="s">
        <v>1</v>
      </c>
    </row>
    <row r="51" spans="1:3" ht="17.25">
      <c r="A51" s="62">
        <f>+D13</f>
        <v>4192039</v>
      </c>
      <c r="B51" s="63">
        <f>+E13</f>
        <v>3989430.72</v>
      </c>
      <c r="C51" s="60" t="s">
        <v>2</v>
      </c>
    </row>
    <row r="52" spans="1:3" ht="17.25">
      <c r="A52" s="62">
        <f>+F13</f>
        <v>5600027</v>
      </c>
      <c r="B52" s="63">
        <f>+G13</f>
        <v>4610773.62</v>
      </c>
      <c r="C52" s="60" t="s">
        <v>3</v>
      </c>
    </row>
    <row r="53" spans="1:3" ht="17.25">
      <c r="A53" s="64">
        <f>+H13</f>
        <v>232000</v>
      </c>
      <c r="B53" s="63">
        <f>+I13</f>
        <v>133640.63999999998</v>
      </c>
      <c r="C53" s="60" t="s">
        <v>34</v>
      </c>
    </row>
    <row r="54" spans="1:3" ht="17.25">
      <c r="A54" s="64">
        <f>+J13</f>
        <v>215492</v>
      </c>
      <c r="B54" s="63">
        <f>+K13</f>
        <v>218642.31</v>
      </c>
      <c r="C54" s="60" t="s">
        <v>32</v>
      </c>
    </row>
    <row r="55" spans="1:3" ht="17.25">
      <c r="A55" s="62">
        <f>+L13</f>
        <v>895000</v>
      </c>
      <c r="B55" s="63">
        <f>+M13</f>
        <v>1231291.85</v>
      </c>
      <c r="C55" s="60" t="s">
        <v>29</v>
      </c>
    </row>
    <row r="56" spans="1:3" ht="17.25">
      <c r="A56" s="62">
        <f>+N13</f>
        <v>716000</v>
      </c>
      <c r="B56" s="63">
        <f>+O13</f>
        <v>1076484.86</v>
      </c>
      <c r="C56" s="60" t="s">
        <v>35</v>
      </c>
    </row>
    <row r="57" spans="1:2" ht="17.25">
      <c r="A57" s="62"/>
      <c r="B57" s="62"/>
    </row>
    <row r="58" spans="1:2" ht="17.25">
      <c r="A58" s="62">
        <v>4568329</v>
      </c>
      <c r="B58" s="63">
        <v>1360852.79</v>
      </c>
    </row>
  </sheetData>
  <mergeCells count="10">
    <mergeCell ref="B2:D2"/>
    <mergeCell ref="J4:K4"/>
    <mergeCell ref="L4:M4"/>
    <mergeCell ref="L1:M1"/>
    <mergeCell ref="B1:F1"/>
    <mergeCell ref="N4:O4"/>
    <mergeCell ref="B4:C4"/>
    <mergeCell ref="D4:E4"/>
    <mergeCell ref="F4:G4"/>
    <mergeCell ref="H4:I4"/>
  </mergeCells>
  <printOptions/>
  <pageMargins left="0.4" right="0.46" top="0.9" bottom="0.25" header="0.3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Cipolletti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Municipal</dc:creator>
  <cp:keywords/>
  <dc:description/>
  <cp:lastModifiedBy>Maggi</cp:lastModifiedBy>
  <cp:lastPrinted>2012-02-15T12:21:00Z</cp:lastPrinted>
  <dcterms:created xsi:type="dcterms:W3CDTF">2000-04-26T12:06:38Z</dcterms:created>
  <dcterms:modified xsi:type="dcterms:W3CDTF">2012-02-15T12:21:01Z</dcterms:modified>
  <cp:category/>
  <cp:version/>
  <cp:contentType/>
  <cp:contentStatus/>
</cp:coreProperties>
</file>