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03" firstSheet="1" activeTab="10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</sheets>
  <definedNames/>
  <calcPr fullCalcOnLoad="1"/>
</workbook>
</file>

<file path=xl/sharedStrings.xml><?xml version="1.0" encoding="utf-8"?>
<sst xmlns="http://schemas.openxmlformats.org/spreadsheetml/2006/main" count="547" uniqueCount="132">
  <si>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</si>
  <si>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</si>
  <si>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</si>
  <si>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</si>
  <si>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</si>
  <si>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</si>
  <si>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</si>
  <si>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</si>
  <si>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</si>
  <si>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</si>
  <si>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</si>
  <si>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</si>
  <si>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</si>
  <si>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</si>
  <si>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</si>
  <si>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</si>
  <si>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</si>
  <si>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</si>
  <si>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</si>
  <si>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</si>
  <si>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</si>
  <si>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</si>
  <si>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</si>
  <si>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</si>
  <si>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</si>
  <si>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</si>
  <si>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</si>
  <si>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</si>
  <si>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</si>
  <si>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</si>
  <si>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</si>
  <si>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</si>
  <si>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</si>
  <si>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</si>
  <si>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</si>
  <si>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</si>
  <si>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</si>
  <si>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</si>
  <si>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</si>
  <si>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</si>
  <si>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</si>
  <si>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</si>
  <si>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</si>
  <si>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</si>
  <si>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</si>
  <si>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</si>
  <si>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</si>
  <si>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</si>
  <si>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</si>
  <si>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</si>
  <si>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</si>
  <si>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</si>
  <si>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</si>
  <si>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</si>
  <si>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</si>
  <si>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</si>
  <si>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</si>
  <si>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</si>
  <si>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</si>
  <si>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</si>
  <si>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</si>
  <si>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</si>
  <si>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</si>
  <si>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</si>
  <si>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</si>
  <si>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</si>
  <si>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</si>
  <si>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</si>
  <si>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</si>
  <si>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</si>
  <si>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</si>
  <si>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</si>
  <si>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</si>
  <si>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</si>
  <si>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</si>
  <si>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</si>
  <si>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</si>
  <si>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</si>
  <si>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</si>
  <si>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</si>
  <si>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</si>
  <si>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</si>
  <si>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</si>
  <si>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</si>
  <si>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</si>
  <si>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</si>
  <si>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</si>
  <si>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</si>
  <si>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</si>
  <si>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</si>
  <si>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</si>
  <si>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</si>
  <si>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 xml:space="preserve">                    TRANSF. CTES.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</si>
  <si>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</si>
  <si>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</si>
  <si>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</si>
  <si>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</si>
  <si>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</si>
  <si>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</si>
  <si>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</si>
  <si>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</si>
  <si>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</si>
  <si>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</si>
  <si>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</si>
  <si>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</si>
  <si>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</si>
  <si>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SECRETARIA DE ACCIÓN  SOCIAL</t>
  </si>
  <si>
    <t>SECRETARIA DE OBRAS  PÚBLICAS</t>
  </si>
  <si>
    <t>SECRETARIA DE FISCALIZACIÓN Y  ORGANIZACIÓN  INTERNA</t>
  </si>
  <si>
    <t>CONCEJO  DELIBERANTE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</si>
  <si>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</si>
  <si>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</si>
  <si>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</si>
  <si>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</si>
  <si>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</si>
  <si>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</si>
  <si>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</si>
  <si>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</si>
  <si>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</si>
  <si>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</si>
  <si>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</si>
  <si>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Dirección</t>
  </si>
  <si>
    <t>Coord.Téc.Act.Fisicas y Rec.</t>
  </si>
  <si>
    <t>Coord.Téc.Deport.y Eventos</t>
  </si>
  <si>
    <t>SECRETARIA DE  ECONOMÍA Y  HACIENDA</t>
  </si>
  <si>
    <t>Area Juntas Vecinales</t>
  </si>
  <si>
    <t>Deleg.Mpal.Balsa Las Perlas</t>
  </si>
  <si>
    <t>Unidad Gestión Margen Sur</t>
  </si>
  <si>
    <t>Dir.Proyectos Urbanisticos</t>
  </si>
  <si>
    <t>Dpto. Tercera Edad</t>
  </si>
  <si>
    <t>Bloque Frente p/La Victoria</t>
  </si>
  <si>
    <t xml:space="preserve">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</si>
</sst>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97">
    <font>
      <sz val="11"/>
      <name val="Garamond"/>
      <family val="0"/>
    </font>
    <font>
      <sz val="8"/>
      <name val="Garamond"/>
      <family val="0"/>
    </font>
    <font>
      <b/>
      <sz val="9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Garamond"/>
      <family val="0"/>
    </font>
    <font>
      <b/>
      <sz val="4.75"/>
      <color indexed="8"/>
      <name val="Trebuchet MS"/>
      <family val="0"/>
    </font>
    <font>
      <b/>
      <sz val="6"/>
      <color indexed="8"/>
      <name val="Trebuchet MS"/>
      <family val="0"/>
    </font>
    <font>
      <b/>
      <i/>
      <u val="single"/>
      <sz val="11.75"/>
      <color indexed="8"/>
      <name val="Trebuchet MS"/>
      <family val="0"/>
    </font>
    <font>
      <b/>
      <i/>
      <sz val="7.35"/>
      <color indexed="8"/>
      <name val="Trebuchet MS"/>
      <family val="0"/>
    </font>
    <font>
      <sz val="19"/>
      <color indexed="8"/>
      <name val="Garamond"/>
      <family val="0"/>
    </font>
    <font>
      <b/>
      <sz val="3.75"/>
      <color indexed="8"/>
      <name val="Trebuchet MS"/>
      <family val="0"/>
    </font>
    <font>
      <b/>
      <i/>
      <u val="single"/>
      <sz val="10.5"/>
      <color indexed="8"/>
      <name val="Trebuchet MS"/>
      <family val="0"/>
    </font>
    <font>
      <b/>
      <i/>
      <sz val="8.25"/>
      <color indexed="8"/>
      <name val="Trebuchet MS"/>
      <family val="0"/>
    </font>
    <font>
      <sz val="18.25"/>
      <color indexed="8"/>
      <name val="Garamond"/>
      <family val="0"/>
    </font>
    <font>
      <b/>
      <sz val="5"/>
      <color indexed="8"/>
      <name val="Trebuchet MS"/>
      <family val="0"/>
    </font>
    <font>
      <b/>
      <sz val="6.25"/>
      <color indexed="8"/>
      <name val="Trebuchet MS"/>
      <family val="0"/>
    </font>
    <font>
      <b/>
      <i/>
      <u val="single"/>
      <sz val="11"/>
      <color indexed="8"/>
      <name val="Trebuchet MS"/>
      <family val="0"/>
    </font>
    <font>
      <sz val="20.75"/>
      <color indexed="8"/>
      <name val="Garamond"/>
      <family val="0"/>
    </font>
    <font>
      <b/>
      <sz val="4.25"/>
      <color indexed="8"/>
      <name val="Trebuchet MS"/>
      <family val="0"/>
    </font>
    <font>
      <b/>
      <sz val="6.5"/>
      <color indexed="8"/>
      <name val="Trebuchet MS"/>
      <family val="0"/>
    </font>
    <font>
      <b/>
      <i/>
      <u val="single"/>
      <sz val="12"/>
      <color indexed="8"/>
      <name val="Trebuchet MS"/>
      <family val="0"/>
    </font>
    <font>
      <sz val="19.25"/>
      <color indexed="8"/>
      <name val="Garamond"/>
      <family val="0"/>
    </font>
    <font>
      <b/>
      <i/>
      <u val="single"/>
      <sz val="10.25"/>
      <color indexed="8"/>
      <name val="Trebuchet MS"/>
      <family val="0"/>
    </font>
    <font>
      <sz val="18.75"/>
      <color indexed="8"/>
      <name val="Garamond"/>
      <family val="0"/>
    </font>
    <font>
      <b/>
      <sz val="5.25"/>
      <color indexed="8"/>
      <name val="Trebuchet MS"/>
      <family val="0"/>
    </font>
    <font>
      <b/>
      <i/>
      <u val="single"/>
      <sz val="9.75"/>
      <color indexed="8"/>
      <name val="Trebuchet MS"/>
      <family val="0"/>
    </font>
    <font>
      <sz val="21.5"/>
      <color indexed="8"/>
      <name val="Garamond"/>
      <family val="0"/>
    </font>
    <font>
      <b/>
      <sz val="5.75"/>
      <color indexed="8"/>
      <name val="Trebuchet MS"/>
      <family val="0"/>
    </font>
    <font>
      <sz val="21.75"/>
      <color indexed="8"/>
      <name val="Garamond"/>
      <family val="0"/>
    </font>
    <font>
      <b/>
      <sz val="4.5"/>
      <color indexed="8"/>
      <name val="Trebuchet MS"/>
      <family val="0"/>
    </font>
    <font>
      <b/>
      <i/>
      <u val="single"/>
      <sz val="11.25"/>
      <color indexed="8"/>
      <name val="Trebuchet MS"/>
      <family val="0"/>
    </font>
    <font>
      <sz val="21"/>
      <color indexed="8"/>
      <name val="Garamond"/>
      <family val="0"/>
    </font>
    <font>
      <b/>
      <i/>
      <sz val="8"/>
      <color indexed="8"/>
      <name val="Trebuchet MS"/>
      <family val="0"/>
    </font>
    <font>
      <b/>
      <sz val="8"/>
      <color indexed="8"/>
      <name val="Trebuchet MS"/>
      <family val="0"/>
    </font>
    <font>
      <b/>
      <u val="single"/>
      <sz val="11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0" applyNumberFormat="0" applyBorder="0" applyAlignment="0" applyProtection="0"/>
    <xf numFmtId="0" fontId="83" fillId="21" borderId="1" applyNumberFormat="0" applyAlignment="0" applyProtection="0"/>
    <xf numFmtId="0" fontId="84" fillId="22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7" fillId="29" borderId="1" applyNumberFormat="0" applyAlignment="0" applyProtection="0"/>
    <xf numFmtId="0" fontId="8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0" fillId="21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6" fillId="0" borderId="8" applyNumberFormat="0" applyFill="0" applyAlignment="0" applyProtection="0"/>
    <xf numFmtId="0" fontId="96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9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17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2" fillId="0" borderId="29" xfId="0" applyFont="1" applyBorder="1" applyAlignment="1">
      <alignment/>
    </xf>
    <xf numFmtId="3" fontId="12" fillId="0" borderId="30" xfId="0" applyNumberFormat="1" applyFont="1" applyBorder="1" applyAlignment="1">
      <alignment/>
    </xf>
    <xf numFmtId="4" fontId="13" fillId="0" borderId="31" xfId="0" applyNumberFormat="1" applyFont="1" applyBorder="1" applyAlignment="1">
      <alignment/>
    </xf>
    <xf numFmtId="4" fontId="13" fillId="0" borderId="32" xfId="0" applyNumberFormat="1" applyFont="1" applyBorder="1" applyAlignment="1">
      <alignment/>
    </xf>
    <xf numFmtId="0" fontId="12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3" fillId="0" borderId="30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13" fillId="0" borderId="35" xfId="0" applyNumberFormat="1" applyFont="1" applyBorder="1" applyAlignment="1">
      <alignment/>
    </xf>
    <xf numFmtId="4" fontId="13" fillId="0" borderId="34" xfId="0" applyNumberFormat="1" applyFont="1" applyBorder="1" applyAlignment="1">
      <alignment/>
    </xf>
    <xf numFmtId="4" fontId="1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4" fillId="0" borderId="39" xfId="52" applyFont="1" applyBorder="1" applyAlignment="1">
      <alignment/>
    </xf>
    <xf numFmtId="9" fontId="4" fillId="0" borderId="39" xfId="52" applyNumberFormat="1" applyFont="1" applyBorder="1" applyAlignment="1">
      <alignment/>
    </xf>
    <xf numFmtId="9" fontId="4" fillId="0" borderId="40" xfId="52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4" fillId="0" borderId="0" xfId="52" applyFont="1" applyBorder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71" fontId="13" fillId="0" borderId="0" xfId="46" applyFont="1" applyAlignment="1">
      <alignment/>
    </xf>
    <xf numFmtId="17" fontId="11" fillId="0" borderId="0" xfId="0" applyNumberFormat="1" applyFont="1" applyAlignment="1">
      <alignment/>
    </xf>
    <xf numFmtId="3" fontId="13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3" fontId="12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8" fillId="0" borderId="0" xfId="0" applyFont="1" applyAlignment="1">
      <alignment/>
    </xf>
    <xf numFmtId="17" fontId="19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3" fontId="13" fillId="0" borderId="31" xfId="0" applyNumberFormat="1" applyFont="1" applyBorder="1" applyAlignment="1">
      <alignment/>
    </xf>
    <xf numFmtId="3" fontId="2" fillId="0" borderId="3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2" fillId="0" borderId="30" xfId="0" applyNumberFormat="1" applyFont="1" applyFill="1" applyBorder="1" applyAlignment="1">
      <alignment/>
    </xf>
    <xf numFmtId="4" fontId="13" fillId="0" borderId="31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4" fontId="13" fillId="0" borderId="3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4" fontId="12" fillId="0" borderId="32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29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3" fillId="0" borderId="34" xfId="0" applyFont="1" applyBorder="1" applyAlignment="1">
      <alignment/>
    </xf>
    <xf numFmtId="9" fontId="4" fillId="0" borderId="35" xfId="52" applyFont="1" applyBorder="1" applyAlignment="1">
      <alignment/>
    </xf>
    <xf numFmtId="9" fontId="4" fillId="0" borderId="43" xfId="5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4" fillId="0" borderId="35" xfId="52" applyNumberFormat="1" applyFont="1" applyBorder="1" applyAlignment="1">
      <alignment/>
    </xf>
    <xf numFmtId="4" fontId="13" fillId="0" borderId="41" xfId="0" applyNumberFormat="1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12" fillId="0" borderId="31" xfId="0" applyNumberFormat="1" applyFont="1" applyFill="1" applyBorder="1" applyAlignment="1">
      <alignment/>
    </xf>
    <xf numFmtId="4" fontId="13" fillId="0" borderId="44" xfId="0" applyNumberFormat="1" applyFont="1" applyBorder="1" applyAlignment="1">
      <alignment/>
    </xf>
    <xf numFmtId="10" fontId="13" fillId="0" borderId="44" xfId="0" applyNumberFormat="1" applyFont="1" applyBorder="1" applyAlignment="1">
      <alignment/>
    </xf>
    <xf numFmtId="4" fontId="13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2" fillId="0" borderId="51" xfId="0" applyFont="1" applyBorder="1" applyAlignment="1">
      <alignment/>
    </xf>
    <xf numFmtId="4" fontId="13" fillId="0" borderId="52" xfId="0" applyNumberFormat="1" applyFont="1" applyBorder="1" applyAlignment="1">
      <alignment/>
    </xf>
    <xf numFmtId="4" fontId="13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9" fontId="4" fillId="0" borderId="55" xfId="52" applyFont="1" applyBorder="1" applyAlignment="1">
      <alignment/>
    </xf>
    <xf numFmtId="9" fontId="4" fillId="0" borderId="56" xfId="52" applyFont="1" applyBorder="1" applyAlignment="1">
      <alignment/>
    </xf>
    <xf numFmtId="3" fontId="2" fillId="0" borderId="57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4" fontId="13" fillId="0" borderId="57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7" fontId="21" fillId="0" borderId="0" xfId="0" applyNumberFormat="1" applyFont="1" applyFill="1" applyAlignment="1">
      <alignment horizontal="center"/>
    </xf>
    <xf numFmtId="17" fontId="22" fillId="0" borderId="0" xfId="0" applyNumberFormat="1" applyFont="1" applyAlignment="1">
      <alignment/>
    </xf>
    <xf numFmtId="0" fontId="2" fillId="0" borderId="63" xfId="0" applyFont="1" applyBorder="1" applyAlignment="1">
      <alignment horizontal="center"/>
    </xf>
    <xf numFmtId="17" fontId="21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4" fontId="13" fillId="0" borderId="64" xfId="0" applyNumberFormat="1" applyFont="1" applyBorder="1" applyAlignment="1">
      <alignment/>
    </xf>
    <xf numFmtId="4" fontId="13" fillId="0" borderId="65" xfId="0" applyNumberFormat="1" applyFont="1" applyBorder="1" applyAlignment="1">
      <alignment/>
    </xf>
    <xf numFmtId="4" fontId="13" fillId="0" borderId="66" xfId="0" applyNumberFormat="1" applyFont="1" applyBorder="1" applyAlignment="1">
      <alignment/>
    </xf>
    <xf numFmtId="10" fontId="4" fillId="0" borderId="39" xfId="52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0" fontId="4" fillId="0" borderId="67" xfId="52" applyNumberFormat="1" applyFont="1" applyBorder="1" applyAlignment="1">
      <alignment/>
    </xf>
    <xf numFmtId="9" fontId="4" fillId="0" borderId="68" xfId="52" applyFont="1" applyBorder="1" applyAlignment="1">
      <alignment/>
    </xf>
    <xf numFmtId="10" fontId="4" fillId="0" borderId="55" xfId="52" applyNumberFormat="1" applyFont="1" applyBorder="1" applyAlignment="1">
      <alignment/>
    </xf>
    <xf numFmtId="10" fontId="4" fillId="0" borderId="69" xfId="52" applyNumberFormat="1" applyFont="1" applyBorder="1" applyAlignment="1">
      <alignment/>
    </xf>
    <xf numFmtId="10" fontId="4" fillId="0" borderId="70" xfId="52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4" fillId="0" borderId="40" xfId="52" applyNumberFormat="1" applyFont="1" applyBorder="1" applyAlignment="1">
      <alignment/>
    </xf>
    <xf numFmtId="10" fontId="4" fillId="0" borderId="43" xfId="52" applyNumberFormat="1" applyFont="1" applyBorder="1" applyAlignment="1">
      <alignment/>
    </xf>
    <xf numFmtId="10" fontId="4" fillId="0" borderId="71" xfId="52" applyNumberFormat="1" applyFont="1" applyBorder="1" applyAlignment="1">
      <alignment/>
    </xf>
    <xf numFmtId="17" fontId="27" fillId="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4" fontId="13" fillId="0" borderId="72" xfId="0" applyNumberFormat="1" applyFont="1" applyBorder="1" applyAlignment="1">
      <alignment/>
    </xf>
    <xf numFmtId="0" fontId="2" fillId="41" borderId="7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74" xfId="0" applyFont="1" applyFill="1" applyBorder="1" applyAlignment="1">
      <alignment horizontal="center"/>
    </xf>
    <xf numFmtId="0" fontId="2" fillId="41" borderId="75" xfId="0" applyFont="1" applyFill="1" applyBorder="1" applyAlignment="1">
      <alignment horizontal="center"/>
    </xf>
    <xf numFmtId="0" fontId="31" fillId="42" borderId="76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78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3" borderId="80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/>
    </xf>
    <xf numFmtId="0" fontId="2" fillId="43" borderId="8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9"/>
                </a:gs>
                <a:gs pos="50000">
                  <a:srgbClr val="666699"/>
                </a:gs>
                <a:gs pos="100000">
                  <a:srgbClr val="30304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2A2A2"/>
                </a:gs>
                <a:gs pos="50000">
                  <a:srgbClr val="CCFFFF"/>
                </a:gs>
                <a:gs pos="100000">
                  <a:srgbClr val="82A2A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28137389"/>
        <c:axId val="51909910"/>
      </c:barChart>
      <c:catAx>
        <c:axId val="28137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</a:defRPr>
            </a:pPr>
          </a:p>
        </c:tx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  <c:max val="31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813738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9365"/>
          <c:w val="0.486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1"/>
          <c:w val="0.9822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CULTURA!$A$46:$A$52</c:f>
              <c:numCache/>
            </c:numRef>
          </c:val>
        </c:ser>
        <c:ser>
          <c:idx val="1"/>
          <c:order val="1"/>
          <c:tx>
            <c:strRef>
              <c:f>CULTURA!$B$45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CULTURA!$B$46:$B$52</c:f>
              <c:numCache/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  <c:max val="2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29596439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93175"/>
          <c:w val="0.505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8501329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"/>
          <c:y val="0.94525"/>
          <c:w val="0.500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36293547"/>
        <c:axId val="58206468"/>
      </c:bar3D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62935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GOB!$A$53:$A$59</c:f>
              <c:numCache/>
            </c:numRef>
          </c:val>
        </c:ser>
        <c:ser>
          <c:idx val="1"/>
          <c:order val="1"/>
          <c:tx>
            <c:strRef>
              <c:f>GOB!$B$52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GOB!$B$53:$B$59</c:f>
              <c:numCache/>
            </c:numRef>
          </c:val>
        </c:ser>
        <c:axId val="64536007"/>
        <c:axId val="43953152"/>
      </c:barChart>
      <c:catAx>
        <c:axId val="6453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  <c:max val="6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453600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"/>
          <c:y val="0.932"/>
          <c:w val="0.518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37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60034049"/>
        <c:axId val="3435530"/>
      </c:barChart>
      <c:catAx>
        <c:axId val="60034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3435530"/>
        <c:crosses val="autoZero"/>
        <c:auto val="1"/>
        <c:lblOffset val="100"/>
        <c:tickLblSkip val="1"/>
        <c:noMultiLvlLbl val="0"/>
      </c:catAx>
      <c:valAx>
        <c:axId val="3435530"/>
        <c:scaling>
          <c:orientation val="minMax"/>
          <c:max val="5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</a:defRPr>
            </a:pPr>
          </a:p>
        </c:txPr>
        <c:crossAx val="60034049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5"/>
          <c:w val="0.498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30919771"/>
        <c:axId val="9842484"/>
      </c:barChart>
      <c:catAx>
        <c:axId val="30919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  <c:max val="1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0919771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5"/>
          <c:y val="0.94025"/>
          <c:w val="0.5172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6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SOP!$A$50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SOP!$C$51:$C$57</c:f>
              <c:strCache/>
            </c:strRef>
          </c:cat>
          <c:val>
            <c:numRef>
              <c:f>SOP!$A$51:$A$57</c:f>
              <c:numCache/>
            </c:numRef>
          </c:val>
        </c:ser>
        <c:ser>
          <c:idx val="1"/>
          <c:order val="1"/>
          <c:tx>
            <c:strRef>
              <c:f>SOP!$B$50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SOP!$C$51:$C$57</c:f>
              <c:strCache/>
            </c:strRef>
          </c:cat>
          <c:val>
            <c:numRef>
              <c:f>SOP!$B$51:$B$57</c:f>
              <c:numCache/>
            </c:numRef>
          </c:val>
        </c:ser>
        <c:gapWidth val="100"/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  <c:max val="8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1473493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25"/>
          <c:y val="0.9385"/>
          <c:w val="0.541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7"/>
                  </a:gs>
                  <a:gs pos="5000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61631343"/>
        <c:axId val="17811176"/>
      </c:barChart>
      <c:catAx>
        <c:axId val="6163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7811176"/>
        <c:crosses val="autoZero"/>
        <c:auto val="1"/>
        <c:lblOffset val="100"/>
        <c:tickLblSkip val="1"/>
        <c:noMultiLvlLbl val="0"/>
      </c:catAx>
      <c:valAx>
        <c:axId val="17811176"/>
        <c:scaling>
          <c:orientation val="minMax"/>
          <c:max val="1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61631343"/>
        <c:crossesAt val="1"/>
        <c:crossBetween val="between"/>
        <c:dispUnits/>
        <c:majorUnit val="800000"/>
        <c:minorUnit val="5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5"/>
          <c:y val="0.93425"/>
          <c:w val="0.469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9832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26082857"/>
        <c:axId val="33419122"/>
      </c:barChart>
      <c:catAx>
        <c:axId val="26082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  <c:max val="13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26082857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3"/>
          <c:w val="0.608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32336643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2525"/>
          <c:w val="0.607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  <c:max val="23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022397"/>
        <c:crossesAt val="1"/>
        <c:crossBetween val="between"/>
        <c:dispUnits/>
        <c:majorUnit val="2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3425"/>
          <c:w val="0.509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2076450" y="3276600"/>
        <a:ext cx="65817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57150</xdr:rowOff>
    </xdr:from>
    <xdr:to>
      <xdr:col>13</xdr:col>
      <xdr:colOff>409575</xdr:colOff>
      <xdr:row>26</xdr:row>
      <xdr:rowOff>133350</xdr:rowOff>
    </xdr:to>
    <xdr:graphicFrame>
      <xdr:nvGraphicFramePr>
        <xdr:cNvPr id="1" name="Gráfico 1"/>
        <xdr:cNvGraphicFramePr/>
      </xdr:nvGraphicFramePr>
      <xdr:xfrm>
        <a:off x="2247900" y="2676525"/>
        <a:ext cx="6619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1809750" y="2714625"/>
        <a:ext cx="66865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Gráfico 2"/>
        <xdr:cNvGraphicFramePr/>
      </xdr:nvGraphicFramePr>
      <xdr:xfrm>
        <a:off x="314325" y="3876675"/>
        <a:ext cx="8001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104775</xdr:rowOff>
    </xdr:from>
    <xdr:to>
      <xdr:col>12</xdr:col>
      <xdr:colOff>114300</xdr:colOff>
      <xdr:row>35</xdr:row>
      <xdr:rowOff>104775</xdr:rowOff>
    </xdr:to>
    <xdr:graphicFrame>
      <xdr:nvGraphicFramePr>
        <xdr:cNvPr id="1" name="Gráfico 1"/>
        <xdr:cNvGraphicFramePr/>
      </xdr:nvGraphicFramePr>
      <xdr:xfrm>
        <a:off x="1981200" y="4248150"/>
        <a:ext cx="6477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12</xdr:col>
      <xdr:colOff>590550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2143125" y="3609975"/>
        <a:ext cx="6334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142875</xdr:rowOff>
    </xdr:from>
    <xdr:to>
      <xdr:col>12</xdr:col>
      <xdr:colOff>371475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2286000" y="3219450"/>
        <a:ext cx="64389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16</xdr:row>
      <xdr:rowOff>171450</xdr:rowOff>
    </xdr:from>
    <xdr:to>
      <xdr:col>12</xdr:col>
      <xdr:colOff>581025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2000250" y="3448050"/>
        <a:ext cx="64008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2495550" y="3190875"/>
        <a:ext cx="6086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Gráfico 1"/>
        <xdr:cNvGraphicFramePr/>
      </xdr:nvGraphicFramePr>
      <xdr:xfrm>
        <a:off x="2152650" y="3133725"/>
        <a:ext cx="5334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1133475" y="3105150"/>
        <a:ext cx="57816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1819275" y="3152775"/>
        <a:ext cx="70199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I1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0.7109375" style="1" customWidth="1"/>
    <col min="4" max="4" width="7.57421875" style="1" customWidth="1"/>
    <col min="5" max="5" width="10.140625" style="1" customWidth="1"/>
    <col min="6" max="6" width="9.57421875" style="1" customWidth="1"/>
    <col min="7" max="7" width="10.7109375" style="1" customWidth="1"/>
    <col min="8" max="8" width="9.421875" style="1" customWidth="1"/>
    <col min="9" max="9" width="10.421875" style="1" customWidth="1"/>
    <col min="10" max="10" width="9.28125" style="1" customWidth="1"/>
    <col min="11" max="11" width="10.7109375" style="1" customWidth="1"/>
    <col min="12" max="12" width="7.140625" style="1" customWidth="1"/>
    <col min="13" max="13" width="10.00390625" style="1" customWidth="1"/>
    <col min="14" max="14" width="9.421875" style="1" customWidth="1"/>
    <col min="15" max="15" width="10.28125" style="1" customWidth="1"/>
    <col min="16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103</v>
      </c>
      <c r="C2" s="165"/>
      <c r="D2" s="166"/>
      <c r="E2" s="166"/>
      <c r="L2" s="164" t="s">
        <v>23</v>
      </c>
      <c r="M2" s="164"/>
      <c r="N2" s="150">
        <v>41000</v>
      </c>
      <c r="O2" s="23"/>
    </row>
    <row r="3" spans="2:5" ht="16.5">
      <c r="B3" s="167"/>
      <c r="C3" s="167"/>
      <c r="E3" s="22"/>
    </row>
    <row r="4" spans="3:5" ht="17.25" thickBot="1">
      <c r="C4" s="24"/>
      <c r="D4" s="24"/>
      <c r="E4" s="22"/>
    </row>
    <row r="5" spans="1:17" ht="18" thickTop="1">
      <c r="A5" s="104"/>
      <c r="B5" s="168" t="s">
        <v>1</v>
      </c>
      <c r="C5" s="169"/>
      <c r="D5" s="168" t="s">
        <v>2</v>
      </c>
      <c r="E5" s="169"/>
      <c r="F5" s="168" t="s">
        <v>3</v>
      </c>
      <c r="G5" s="169"/>
      <c r="H5" s="168" t="s">
        <v>4</v>
      </c>
      <c r="I5" s="169"/>
      <c r="J5" s="168" t="s">
        <v>32</v>
      </c>
      <c r="K5" s="169"/>
      <c r="L5" s="105" t="s">
        <v>87</v>
      </c>
      <c r="M5" s="106"/>
      <c r="N5" s="168" t="s">
        <v>33</v>
      </c>
      <c r="O5" s="169"/>
      <c r="P5" s="107" t="s">
        <v>5</v>
      </c>
      <c r="Q5" s="118" t="s">
        <v>38</v>
      </c>
    </row>
    <row r="6" spans="1:17" ht="17.25">
      <c r="A6" s="108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119" t="s">
        <v>39</v>
      </c>
    </row>
    <row r="7" spans="1:18" ht="17.25">
      <c r="A7" s="109" t="s">
        <v>14</v>
      </c>
      <c r="B7" s="32">
        <v>643245</v>
      </c>
      <c r="C7" s="33">
        <f>6466.15+217192.31+3+21959.57</f>
        <v>245621.03</v>
      </c>
      <c r="D7" s="32">
        <v>10000</v>
      </c>
      <c r="E7" s="33">
        <f>3198.23+11577.11</f>
        <v>14775.34</v>
      </c>
      <c r="F7" s="32">
        <v>407665</v>
      </c>
      <c r="G7" s="33">
        <f>132860.84+272326.14+920+9200</f>
        <v>415306.98</v>
      </c>
      <c r="H7" s="32">
        <v>391545</v>
      </c>
      <c r="I7" s="33">
        <f>80335.63+257671.38</f>
        <v>338007.01</v>
      </c>
      <c r="J7" s="32">
        <v>2500</v>
      </c>
      <c r="K7" s="33">
        <f>2248.71+9256.04</f>
        <v>11504.75</v>
      </c>
      <c r="L7" s="32">
        <v>0</v>
      </c>
      <c r="M7" s="33">
        <f>2652+7833.37</f>
        <v>10485.369999999999</v>
      </c>
      <c r="N7" s="32">
        <f>400000+800000</f>
        <v>1200000</v>
      </c>
      <c r="O7" s="33">
        <f>17882+369171.23</f>
        <v>387053.23</v>
      </c>
      <c r="P7" s="110">
        <f>+O7+K7+I7+G7+E7+C7+M7</f>
        <v>1422753.7100000002</v>
      </c>
      <c r="Q7" s="136">
        <f>+B7+D7+F7+H7+J7+N7+L7-P7</f>
        <v>1232201.2899999998</v>
      </c>
      <c r="R7" s="5"/>
    </row>
    <row r="8" spans="1:17" ht="17.25">
      <c r="A8" s="109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10"/>
      <c r="Q8" s="137"/>
    </row>
    <row r="9" spans="1:17" ht="17.25">
      <c r="A9" s="109" t="s">
        <v>99</v>
      </c>
      <c r="B9" s="32">
        <v>1029722</v>
      </c>
      <c r="C9" s="33">
        <f>2947.17+336530.77</f>
        <v>339477.94</v>
      </c>
      <c r="D9" s="32">
        <v>0</v>
      </c>
      <c r="E9" s="33">
        <v>0</v>
      </c>
      <c r="F9" s="32">
        <v>70400</v>
      </c>
      <c r="G9" s="33">
        <v>29616.1</v>
      </c>
      <c r="H9" s="32">
        <v>0</v>
      </c>
      <c r="I9" s="33">
        <f>26296.24+46590.63</f>
        <v>72886.87</v>
      </c>
      <c r="J9" s="32">
        <v>800000</v>
      </c>
      <c r="K9" s="33">
        <f>222963.1+424896.82</f>
        <v>647859.92</v>
      </c>
      <c r="L9" s="32">
        <v>0</v>
      </c>
      <c r="M9" s="33">
        <v>3</v>
      </c>
      <c r="N9" s="35">
        <v>0</v>
      </c>
      <c r="O9" s="33">
        <v>332113.72</v>
      </c>
      <c r="P9" s="110">
        <f>+O9+K9+I9+G9+E9+C9+M9</f>
        <v>1421957.55</v>
      </c>
      <c r="Q9" s="137">
        <f>+B9+D9+F9+H9+J9+N9-P9</f>
        <v>478164.44999999995</v>
      </c>
    </row>
    <row r="10" spans="1:17" ht="17.25">
      <c r="A10" s="109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10"/>
      <c r="Q10" s="137"/>
    </row>
    <row r="11" spans="1:17" ht="17.25">
      <c r="A11" s="109" t="s">
        <v>98</v>
      </c>
      <c r="B11" s="32">
        <v>1347140</v>
      </c>
      <c r="C11" s="33">
        <f>3254.47+366861.92</f>
        <v>370116.38999999996</v>
      </c>
      <c r="D11" s="32">
        <v>81813</v>
      </c>
      <c r="E11" s="33">
        <f>4976.27+4349.14</f>
        <v>9325.41</v>
      </c>
      <c r="F11" s="32">
        <f>931043-200000</f>
        <v>731043</v>
      </c>
      <c r="G11" s="33">
        <f>26828.23+86828.3</f>
        <v>113656.53</v>
      </c>
      <c r="H11" s="32">
        <v>413407</v>
      </c>
      <c r="I11" s="33">
        <f>13690.46+21688.57</f>
        <v>35379.03</v>
      </c>
      <c r="J11" s="32">
        <v>343140</v>
      </c>
      <c r="K11" s="33">
        <v>0</v>
      </c>
      <c r="L11" s="32">
        <v>20000</v>
      </c>
      <c r="M11" s="37">
        <v>0</v>
      </c>
      <c r="N11" s="32">
        <v>0</v>
      </c>
      <c r="O11" s="33">
        <v>119293.45</v>
      </c>
      <c r="P11" s="110">
        <f>+O11+K11+I11+G11+E11+C11+M11</f>
        <v>647770.8099999999</v>
      </c>
      <c r="Q11" s="137">
        <f>+B11+D11+F11+H11+J11+N11-P11+L11</f>
        <v>2288772.19</v>
      </c>
    </row>
    <row r="12" spans="1:17" ht="18" thickBot="1">
      <c r="A12" s="120" t="s">
        <v>11</v>
      </c>
      <c r="B12" s="115">
        <f aca="true" t="shared" si="0" ref="B12:I12">SUM(B7:B11)</f>
        <v>3020107</v>
      </c>
      <c r="C12" s="116">
        <f>SUM(C7:C11)</f>
        <v>955215.3599999999</v>
      </c>
      <c r="D12" s="115">
        <f t="shared" si="0"/>
        <v>91813</v>
      </c>
      <c r="E12" s="116">
        <f t="shared" si="0"/>
        <v>24100.75</v>
      </c>
      <c r="F12" s="115">
        <f t="shared" si="0"/>
        <v>1209108</v>
      </c>
      <c r="G12" s="116">
        <f t="shared" si="0"/>
        <v>558579.61</v>
      </c>
      <c r="H12" s="115">
        <f t="shared" si="0"/>
        <v>804952</v>
      </c>
      <c r="I12" s="116">
        <f t="shared" si="0"/>
        <v>446272.91000000003</v>
      </c>
      <c r="J12" s="115">
        <f>SUM(J7:J11)</f>
        <v>1145640</v>
      </c>
      <c r="K12" s="116">
        <f>SUM(K7:K11)</f>
        <v>659364.67</v>
      </c>
      <c r="L12" s="115">
        <f aca="true" t="shared" si="1" ref="L12:Q12">SUM(L7:L11)</f>
        <v>20000</v>
      </c>
      <c r="M12" s="117">
        <f t="shared" si="1"/>
        <v>10488.369999999999</v>
      </c>
      <c r="N12" s="115">
        <f t="shared" si="1"/>
        <v>1200000</v>
      </c>
      <c r="O12" s="116">
        <f t="shared" si="1"/>
        <v>838460.3999999999</v>
      </c>
      <c r="P12" s="111">
        <f t="shared" si="1"/>
        <v>3492482.0700000003</v>
      </c>
      <c r="Q12" s="138">
        <f t="shared" si="1"/>
        <v>3999137.9299999997</v>
      </c>
    </row>
    <row r="13" spans="1:17" ht="18.75" thickBot="1" thickTop="1">
      <c r="A13" s="121" t="s">
        <v>30</v>
      </c>
      <c r="B13" s="112"/>
      <c r="C13" s="143">
        <f>+C12/B12</f>
        <v>0.31628527068742923</v>
      </c>
      <c r="D13" s="113"/>
      <c r="E13" s="143">
        <f>+E12/D12</f>
        <v>0.2624982300981343</v>
      </c>
      <c r="F13" s="113"/>
      <c r="G13" s="143">
        <f>+G12/F12</f>
        <v>0.4619766058945934</v>
      </c>
      <c r="H13" s="113"/>
      <c r="I13" s="143">
        <f>+I12/H12</f>
        <v>0.5544093436627278</v>
      </c>
      <c r="J13" s="113"/>
      <c r="K13" s="144">
        <f>+K12/J12</f>
        <v>0.5755426399217904</v>
      </c>
      <c r="L13" s="142"/>
      <c r="M13" s="144">
        <f>+M12/L12</f>
        <v>0.5244184999999999</v>
      </c>
      <c r="N13" s="114"/>
      <c r="O13" s="145">
        <f>+O12/N12</f>
        <v>0.6987169999999999</v>
      </c>
      <c r="P13" s="48"/>
      <c r="Q13" s="5"/>
    </row>
    <row r="14" spans="1:17" ht="17.25" thickTop="1">
      <c r="A14" s="49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"/>
    </row>
    <row r="15" ht="16.5">
      <c r="P15" s="5"/>
    </row>
    <row r="37" spans="1:6" ht="16.5">
      <c r="A37" s="53"/>
      <c r="B37" s="53"/>
      <c r="C37" s="53"/>
      <c r="D37" s="53"/>
      <c r="E37" s="53"/>
      <c r="F37" s="53"/>
    </row>
    <row r="39" spans="3:11" ht="16.5">
      <c r="C39" s="52"/>
      <c r="D39" s="5"/>
      <c r="E39" s="53"/>
      <c r="F39" s="53"/>
      <c r="K39" s="1" t="s">
        <v>85</v>
      </c>
    </row>
    <row r="40" spans="3:6" ht="16.5">
      <c r="C40" s="5"/>
      <c r="D40" s="5"/>
      <c r="E40" s="53"/>
      <c r="F40" s="53"/>
    </row>
    <row r="41" spans="3:6" ht="16.5">
      <c r="C41" s="5"/>
      <c r="D41" s="5"/>
      <c r="E41" s="53"/>
      <c r="F41" s="53"/>
    </row>
    <row r="42" spans="3:6" ht="16.5">
      <c r="C42" s="5"/>
      <c r="D42" s="5"/>
      <c r="E42" s="53"/>
      <c r="F42" s="53"/>
    </row>
    <row r="43" spans="3:6" ht="16.5">
      <c r="C43" s="5"/>
      <c r="D43" s="5"/>
      <c r="E43" s="53"/>
      <c r="F43" s="53"/>
    </row>
    <row r="44" spans="3:6" ht="16.5">
      <c r="C44" s="5"/>
      <c r="D44" s="5"/>
      <c r="E44" s="53"/>
      <c r="F44" s="53"/>
    </row>
    <row r="46" spans="1:3" ht="17.25">
      <c r="A46" s="21" t="s">
        <v>26</v>
      </c>
      <c r="B46" s="54" t="s">
        <v>27</v>
      </c>
      <c r="C46" s="21" t="s">
        <v>28</v>
      </c>
    </row>
    <row r="47" spans="1:3" ht="17.25">
      <c r="A47" s="55">
        <f>+B12</f>
        <v>3020107</v>
      </c>
      <c r="B47" s="52">
        <f>+C12</f>
        <v>955215.3599999999</v>
      </c>
      <c r="C47" s="21" t="s">
        <v>1</v>
      </c>
    </row>
    <row r="48" spans="1:3" ht="17.25">
      <c r="A48" s="55">
        <f>+D12</f>
        <v>91813</v>
      </c>
      <c r="B48" s="52">
        <f>+E12</f>
        <v>24100.75</v>
      </c>
      <c r="C48" s="21" t="s">
        <v>2</v>
      </c>
    </row>
    <row r="49" spans="1:3" ht="17.25">
      <c r="A49" s="55">
        <f>+F12</f>
        <v>1209108</v>
      </c>
      <c r="B49" s="52">
        <f>+G12</f>
        <v>558579.61</v>
      </c>
      <c r="C49" s="21" t="s">
        <v>3</v>
      </c>
    </row>
    <row r="50" spans="1:3" ht="17.25">
      <c r="A50" s="55">
        <f>+H12</f>
        <v>804952</v>
      </c>
      <c r="B50" s="52">
        <f>+I12</f>
        <v>446272.91000000003</v>
      </c>
      <c r="C50" s="21" t="s">
        <v>34</v>
      </c>
    </row>
    <row r="51" spans="1:3" ht="17.25">
      <c r="A51" s="55">
        <f>+J12</f>
        <v>1145640</v>
      </c>
      <c r="B51" s="52">
        <f>+K12</f>
        <v>659364.67</v>
      </c>
      <c r="C51" s="21" t="s">
        <v>32</v>
      </c>
    </row>
    <row r="52" spans="1:3" ht="17.25">
      <c r="A52" s="55">
        <f>+L12</f>
        <v>20000</v>
      </c>
      <c r="B52" s="52">
        <f>+M12</f>
        <v>10488.369999999999</v>
      </c>
      <c r="C52" s="21" t="s">
        <v>95</v>
      </c>
    </row>
    <row r="53" spans="1:3" ht="17.25">
      <c r="A53" s="55">
        <f>+N12</f>
        <v>1200000</v>
      </c>
      <c r="B53" s="52">
        <f>+O12</f>
        <v>838460.3999999999</v>
      </c>
      <c r="C53" s="21" t="s">
        <v>35</v>
      </c>
    </row>
    <row r="55" spans="1:2" ht="16.5">
      <c r="A55" s="55"/>
      <c r="B55" s="52"/>
    </row>
  </sheetData>
  <sheetProtection/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3" top="1.06" bottom="0.55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2" sqref="P12"/>
    </sheetView>
  </sheetViews>
  <sheetFormatPr defaultColWidth="11.421875" defaultRowHeight="15"/>
  <cols>
    <col min="1" max="1" width="15.421875" style="1" customWidth="1"/>
    <col min="2" max="2" width="9.28125" style="1" customWidth="1"/>
    <col min="3" max="3" width="10.28125" style="1" customWidth="1"/>
    <col min="4" max="4" width="8.421875" style="1" customWidth="1"/>
    <col min="5" max="5" width="9.7109375" style="1" customWidth="1"/>
    <col min="6" max="6" width="9.421875" style="1" customWidth="1"/>
    <col min="7" max="7" width="10.7109375" style="1" customWidth="1"/>
    <col min="8" max="8" width="8.00390625" style="1" customWidth="1"/>
    <col min="9" max="9" width="10.851562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8.28125" style="1" customWidth="1"/>
    <col min="15" max="15" width="10.28125" style="1" customWidth="1"/>
    <col min="16" max="17" width="12.00390625" style="1" customWidth="1"/>
    <col min="18" max="18" width="11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116</v>
      </c>
      <c r="C2" s="184"/>
      <c r="D2" s="184"/>
      <c r="E2" s="185"/>
      <c r="F2" s="185"/>
      <c r="G2" s="178"/>
      <c r="K2" s="186" t="s">
        <v>23</v>
      </c>
      <c r="L2" s="186"/>
      <c r="M2" s="150">
        <v>41000</v>
      </c>
      <c r="O2" s="56"/>
    </row>
    <row r="3" spans="2:4" ht="16.5">
      <c r="B3" s="182"/>
      <c r="C3" s="183"/>
      <c r="D3" s="18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121</v>
      </c>
      <c r="B8" s="32">
        <v>2168786</v>
      </c>
      <c r="C8" s="33">
        <f>30993.01+23401.57+71166.78+289788.37+2668.53+8030.13+41668.06+111113.3+7750.12+14740.38+7966.21+21225.2+2774.72+7326.18+1265.85+3392.19+5119.66+15621.69+11627.7+31970.18</f>
        <v>709609.8299999998</v>
      </c>
      <c r="D8" s="32">
        <v>106607</v>
      </c>
      <c r="E8" s="33">
        <f>19593.36+3124.03+297.91+202.25+503.75</f>
        <v>23721.3</v>
      </c>
      <c r="F8" s="32">
        <v>1004165</v>
      </c>
      <c r="G8" s="33">
        <f>5150.02+9255+87550.99+273158.77+320.45+502.91+16903.77+850+3975.17+9105.27+49+1001+1800+1277.15</f>
        <v>410899.50000000006</v>
      </c>
      <c r="H8" s="32">
        <v>623000</v>
      </c>
      <c r="I8" s="33">
        <f>4000+41221.9+89064.95</f>
        <v>134286.85</v>
      </c>
      <c r="J8" s="32">
        <v>50000</v>
      </c>
      <c r="K8" s="33">
        <f>4181+290+304</f>
        <v>4775</v>
      </c>
      <c r="L8" s="32">
        <v>0</v>
      </c>
      <c r="M8" s="37">
        <v>1383.52</v>
      </c>
      <c r="N8" s="32">
        <f>290000+600000</f>
        <v>890000</v>
      </c>
      <c r="O8" s="33">
        <f>1113.94+323665.78</f>
        <v>324779.72000000003</v>
      </c>
      <c r="P8" s="34">
        <f>+O8+M8+K8+I8+G8+E8+C8</f>
        <v>1609455.72</v>
      </c>
      <c r="Q8" s="34">
        <f>+B8+D8+F8+H8+J8+N8+L8-P8</f>
        <v>3233102.2800000003</v>
      </c>
      <c r="R8" s="5"/>
    </row>
    <row r="9" spans="1:18" ht="17.25">
      <c r="A9" s="31"/>
      <c r="B9" s="32"/>
      <c r="C9" s="33"/>
      <c r="D9" s="32"/>
      <c r="E9" s="33"/>
      <c r="F9" s="32"/>
      <c r="G9" s="33"/>
      <c r="H9" s="32"/>
      <c r="I9" s="33"/>
      <c r="J9" s="32"/>
      <c r="K9" s="33"/>
      <c r="L9" s="32"/>
      <c r="M9" s="37"/>
      <c r="N9" s="32"/>
      <c r="O9" s="33"/>
      <c r="P9" s="34"/>
      <c r="Q9" s="34"/>
      <c r="R9" s="5"/>
    </row>
    <row r="10" spans="1:18" ht="18" thickBot="1">
      <c r="A10" s="38" t="s">
        <v>11</v>
      </c>
      <c r="B10" s="39">
        <f aca="true" t="shared" si="0" ref="B10:Q10">SUM(B8:B9)</f>
        <v>2168786</v>
      </c>
      <c r="C10" s="40">
        <f t="shared" si="0"/>
        <v>709609.8299999998</v>
      </c>
      <c r="D10" s="39">
        <f t="shared" si="0"/>
        <v>106607</v>
      </c>
      <c r="E10" s="40">
        <f t="shared" si="0"/>
        <v>23721.3</v>
      </c>
      <c r="F10" s="39">
        <f t="shared" si="0"/>
        <v>1004165</v>
      </c>
      <c r="G10" s="40">
        <f t="shared" si="0"/>
        <v>410899.50000000006</v>
      </c>
      <c r="H10" s="39">
        <f t="shared" si="0"/>
        <v>623000</v>
      </c>
      <c r="I10" s="40">
        <f t="shared" si="0"/>
        <v>134286.85</v>
      </c>
      <c r="J10" s="39">
        <f t="shared" si="0"/>
        <v>50000</v>
      </c>
      <c r="K10" s="40">
        <f t="shared" si="0"/>
        <v>4775</v>
      </c>
      <c r="L10" s="39">
        <f t="shared" si="0"/>
        <v>0</v>
      </c>
      <c r="M10" s="40">
        <f t="shared" si="0"/>
        <v>1383.52</v>
      </c>
      <c r="N10" s="39">
        <f t="shared" si="0"/>
        <v>890000</v>
      </c>
      <c r="O10" s="40">
        <f t="shared" si="0"/>
        <v>324779.72000000003</v>
      </c>
      <c r="P10" s="42">
        <f t="shared" si="0"/>
        <v>1609455.72</v>
      </c>
      <c r="Q10" s="42">
        <f t="shared" si="0"/>
        <v>3233102.2800000003</v>
      </c>
      <c r="R10" s="5"/>
    </row>
    <row r="11" spans="1:17" ht="17.25" thickBot="1">
      <c r="A11" s="43" t="s">
        <v>30</v>
      </c>
      <c r="B11" s="44"/>
      <c r="C11" s="139">
        <f>+C10/B10</f>
        <v>0.3271921849366419</v>
      </c>
      <c r="D11" s="139"/>
      <c r="E11" s="139">
        <f>+E10/D10</f>
        <v>0.22251165495699157</v>
      </c>
      <c r="F11" s="139"/>
      <c r="G11" s="139">
        <f>+G10/F10</f>
        <v>0.40919520198373777</v>
      </c>
      <c r="H11" s="139"/>
      <c r="I11" s="139">
        <f>+I10/H10</f>
        <v>0.21554871589085073</v>
      </c>
      <c r="J11" s="139"/>
      <c r="K11" s="139">
        <f>+K10/J10</f>
        <v>0.0955</v>
      </c>
      <c r="L11" s="147"/>
      <c r="M11" s="139"/>
      <c r="N11" s="149"/>
      <c r="O11" s="141"/>
      <c r="P11" s="58"/>
      <c r="Q11" s="5"/>
    </row>
    <row r="12" spans="1:17" ht="16.5">
      <c r="A12" s="49"/>
      <c r="B12" s="49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140"/>
      <c r="Q12" s="5"/>
    </row>
    <row r="13" spans="1:16" ht="16.5">
      <c r="A13" s="49"/>
      <c r="B13" s="4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ht="16.5">
      <c r="Q14" s="1" t="s">
        <v>131</v>
      </c>
    </row>
    <row r="30" spans="5:8" ht="16.5">
      <c r="E30" s="59"/>
      <c r="F30" s="59"/>
      <c r="G30" s="60"/>
      <c r="H30" s="60"/>
    </row>
    <row r="31" spans="5:8" ht="16.5">
      <c r="E31" s="61"/>
      <c r="F31" s="61"/>
      <c r="G31" s="61"/>
      <c r="H31" s="61"/>
    </row>
    <row r="36" spans="1:6" ht="16.5">
      <c r="A36" s="53"/>
      <c r="B36" s="53"/>
      <c r="C36" s="53"/>
      <c r="D36" s="53"/>
      <c r="E36" s="53"/>
      <c r="F36" s="53"/>
    </row>
    <row r="37" ht="16.5">
      <c r="C37" s="48"/>
    </row>
    <row r="38" spans="3:6" ht="16.5">
      <c r="C38" s="52"/>
      <c r="D38" s="5"/>
      <c r="E38" s="53"/>
      <c r="F38" s="53"/>
    </row>
    <row r="39" spans="3:6" ht="16.5">
      <c r="C39" s="52"/>
      <c r="D39" s="5"/>
      <c r="E39" s="53"/>
      <c r="F39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5" spans="1:5" ht="16.5">
      <c r="A45" s="62" t="s">
        <v>26</v>
      </c>
      <c r="B45" s="62" t="s">
        <v>27</v>
      </c>
      <c r="C45" s="62" t="s">
        <v>28</v>
      </c>
      <c r="D45" s="62"/>
      <c r="E45" s="63"/>
    </row>
    <row r="46" spans="1:3" ht="17.25">
      <c r="A46" s="64">
        <f>+B10</f>
        <v>2168786</v>
      </c>
      <c r="B46" s="65">
        <f>+C10</f>
        <v>709609.8299999998</v>
      </c>
      <c r="C46" s="62" t="s">
        <v>1</v>
      </c>
    </row>
    <row r="47" spans="1:3" ht="17.25">
      <c r="A47" s="64">
        <f>+D10</f>
        <v>106607</v>
      </c>
      <c r="B47" s="65">
        <f>+E10</f>
        <v>23721.3</v>
      </c>
      <c r="C47" s="62" t="s">
        <v>2</v>
      </c>
    </row>
    <row r="48" spans="1:3" ht="17.25">
      <c r="A48" s="64">
        <f>+F10</f>
        <v>1004165</v>
      </c>
      <c r="B48" s="65">
        <f>+G10</f>
        <v>410899.50000000006</v>
      </c>
      <c r="C48" s="62" t="s">
        <v>3</v>
      </c>
    </row>
    <row r="49" spans="1:3" ht="17.25">
      <c r="A49" s="64">
        <f>+H10</f>
        <v>623000</v>
      </c>
      <c r="B49" s="65">
        <f>+I10</f>
        <v>134286.85</v>
      </c>
      <c r="C49" s="62" t="s">
        <v>34</v>
      </c>
    </row>
    <row r="50" spans="1:3" ht="17.25">
      <c r="A50" s="64">
        <f>+J10</f>
        <v>50000</v>
      </c>
      <c r="B50" s="65">
        <f>+K10</f>
        <v>4775</v>
      </c>
      <c r="C50" s="62" t="s">
        <v>32</v>
      </c>
    </row>
    <row r="51" spans="1:3" ht="17.25">
      <c r="A51" s="66">
        <f>+L10</f>
        <v>0</v>
      </c>
      <c r="B51" s="65">
        <f>+M10</f>
        <v>1383.52</v>
      </c>
      <c r="C51" s="62" t="s">
        <v>100</v>
      </c>
    </row>
    <row r="52" spans="1:3" ht="17.25">
      <c r="A52" s="64">
        <f>+N10</f>
        <v>890000</v>
      </c>
      <c r="B52" s="65">
        <f>+O10</f>
        <v>324779.72000000003</v>
      </c>
      <c r="C52" s="62" t="s">
        <v>35</v>
      </c>
    </row>
    <row r="53" spans="1:3" ht="17.25">
      <c r="A53" s="64"/>
      <c r="B53" s="64"/>
      <c r="C53" s="62"/>
    </row>
    <row r="54" spans="1:2" ht="16.5">
      <c r="A54" s="1">
        <v>2809993</v>
      </c>
      <c r="B54" s="5">
        <v>749308.3</v>
      </c>
    </row>
  </sheetData>
  <sheetProtection/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88" bottom="0.4330708661417323" header="0.2" footer="0"/>
  <pageSetup horizontalDpi="300" verticalDpi="3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PageLayoutView="0" workbookViewId="0" topLeftCell="A1">
      <selection activeCell="P19" sqref="P19"/>
    </sheetView>
  </sheetViews>
  <sheetFormatPr defaultColWidth="11.421875" defaultRowHeight="15"/>
  <cols>
    <col min="1" max="1" width="17.7109375" style="1" customWidth="1"/>
    <col min="2" max="2" width="9.28125" style="1" customWidth="1"/>
    <col min="3" max="3" width="10.57421875" style="1" customWidth="1"/>
    <col min="4" max="4" width="6.8515625" style="1" customWidth="1"/>
    <col min="5" max="6" width="9.28125" style="1" customWidth="1"/>
    <col min="7" max="7" width="11.140625" style="1" customWidth="1"/>
    <col min="8" max="8" width="9.140625" style="1" customWidth="1"/>
    <col min="9" max="9" width="10.421875" style="1" customWidth="1"/>
    <col min="10" max="10" width="6.8515625" style="1" customWidth="1"/>
    <col min="11" max="11" width="10.57421875" style="1" customWidth="1"/>
    <col min="12" max="12" width="7.8515625" style="1" customWidth="1"/>
    <col min="13" max="13" width="9.140625" style="1" customWidth="1"/>
    <col min="14" max="14" width="7.8515625" style="1" customWidth="1"/>
    <col min="15" max="15" width="10.57421875" style="1" customWidth="1"/>
    <col min="16" max="17" width="12.00390625" style="1" customWidth="1"/>
    <col min="18" max="18" width="11.710937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117</v>
      </c>
      <c r="C2" s="184"/>
      <c r="D2" s="184"/>
      <c r="E2" s="185"/>
      <c r="F2" s="185"/>
      <c r="G2" s="178"/>
      <c r="K2" s="187" t="s">
        <v>23</v>
      </c>
      <c r="L2" s="188"/>
      <c r="M2" s="150">
        <v>41000</v>
      </c>
      <c r="O2" s="56"/>
    </row>
    <row r="3" spans="2:4" ht="16.5">
      <c r="B3" s="182"/>
      <c r="C3" s="183"/>
      <c r="D3" s="18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17.25">
      <c r="A7" s="97"/>
      <c r="B7" s="159"/>
      <c r="C7" s="160"/>
      <c r="D7" s="159"/>
      <c r="E7" s="160"/>
      <c r="F7" s="159"/>
      <c r="G7" s="160"/>
      <c r="H7" s="159"/>
      <c r="I7" s="160"/>
      <c r="J7" s="159"/>
      <c r="K7" s="160"/>
      <c r="L7" s="159"/>
      <c r="M7" s="159"/>
      <c r="N7" s="159"/>
      <c r="O7" s="160"/>
      <c r="P7" s="161"/>
      <c r="Q7" s="162"/>
    </row>
    <row r="8" spans="1:18" ht="17.25">
      <c r="A8" s="31" t="s">
        <v>121</v>
      </c>
      <c r="B8" s="32">
        <v>1981603</v>
      </c>
      <c r="C8" s="33">
        <f>185736.92+541890.21</f>
        <v>727627.13</v>
      </c>
      <c r="D8" s="32">
        <v>51600</v>
      </c>
      <c r="E8" s="33">
        <f>9183.99+4096.37</f>
        <v>13280.36</v>
      </c>
      <c r="F8" s="32">
        <v>1824200</v>
      </c>
      <c r="G8" s="33">
        <f>142204.4+318710.3</f>
        <v>460914.69999999995</v>
      </c>
      <c r="H8" s="32">
        <v>1115000</v>
      </c>
      <c r="I8" s="33">
        <f>67233.7+562637.55</f>
        <v>629871.25</v>
      </c>
      <c r="J8" s="32">
        <v>10000</v>
      </c>
      <c r="K8" s="33">
        <f>4244.89+243500</f>
        <v>247744.89</v>
      </c>
      <c r="L8" s="32">
        <v>0</v>
      </c>
      <c r="M8" s="37">
        <f>3309.52+1823.99</f>
        <v>5133.51</v>
      </c>
      <c r="N8" s="32">
        <f>250000+600000</f>
        <v>850000</v>
      </c>
      <c r="O8" s="33">
        <f>6799.78+346330.58</f>
        <v>353130.36000000004</v>
      </c>
      <c r="P8" s="34">
        <f>+C8+E8+G8+I8+K8+O8+M8</f>
        <v>2437702.1999999997</v>
      </c>
      <c r="Q8" s="34">
        <f>+B8+D8+F8+H8+J8+N8+L8-P8</f>
        <v>3394700.8000000003</v>
      </c>
      <c r="R8" s="5"/>
    </row>
    <row r="9" spans="1:18" ht="17.25" hidden="1">
      <c r="A9" s="31" t="s">
        <v>122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123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1981603</v>
      </c>
      <c r="C12" s="40">
        <f t="shared" si="0"/>
        <v>727627.13</v>
      </c>
      <c r="D12" s="39">
        <f t="shared" si="0"/>
        <v>51600</v>
      </c>
      <c r="E12" s="40">
        <f t="shared" si="0"/>
        <v>13280.36</v>
      </c>
      <c r="F12" s="39">
        <f t="shared" si="0"/>
        <v>1824200</v>
      </c>
      <c r="G12" s="40">
        <f t="shared" si="0"/>
        <v>460914.69999999995</v>
      </c>
      <c r="H12" s="39">
        <f t="shared" si="0"/>
        <v>1115000</v>
      </c>
      <c r="I12" s="40">
        <f t="shared" si="0"/>
        <v>629871.25</v>
      </c>
      <c r="J12" s="39">
        <f t="shared" si="0"/>
        <v>10000</v>
      </c>
      <c r="K12" s="40">
        <f t="shared" si="0"/>
        <v>247744.89</v>
      </c>
      <c r="L12" s="39">
        <f t="shared" si="0"/>
        <v>0</v>
      </c>
      <c r="M12" s="40">
        <f t="shared" si="0"/>
        <v>5133.51</v>
      </c>
      <c r="N12" s="39">
        <f t="shared" si="0"/>
        <v>850000</v>
      </c>
      <c r="O12" s="40">
        <f t="shared" si="0"/>
        <v>353130.36000000004</v>
      </c>
      <c r="P12" s="42">
        <f t="shared" si="0"/>
        <v>2437702.1999999997</v>
      </c>
      <c r="Q12" s="42">
        <f t="shared" si="0"/>
        <v>3394700.8000000003</v>
      </c>
      <c r="R12" s="5"/>
    </row>
    <row r="13" spans="1:17" ht="17.25" thickBot="1">
      <c r="A13" s="43" t="s">
        <v>30</v>
      </c>
      <c r="B13" s="44"/>
      <c r="C13" s="139">
        <f>+C12/B12</f>
        <v>0.36719117300488546</v>
      </c>
      <c r="D13" s="139"/>
      <c r="E13" s="139">
        <f>+E12/D12</f>
        <v>0.2573713178294574</v>
      </c>
      <c r="F13" s="139"/>
      <c r="G13" s="139">
        <f>+G12/F12</f>
        <v>0.25266675803091765</v>
      </c>
      <c r="H13" s="45"/>
      <c r="I13" s="139">
        <f>+I12/H12</f>
        <v>0.5649069506726457</v>
      </c>
      <c r="J13" s="45"/>
      <c r="K13" s="46">
        <f>+K12/J12</f>
        <v>24.774489000000003</v>
      </c>
      <c r="L13" s="47"/>
      <c r="M13" s="147"/>
      <c r="N13" s="45"/>
      <c r="O13" s="141">
        <f>+O12/N12</f>
        <v>0.4154474823529412</v>
      </c>
      <c r="P13" s="58"/>
      <c r="Q13" s="5"/>
    </row>
    <row r="14" spans="1:17" ht="9" customHeight="1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+B12</f>
        <v>1981603</v>
      </c>
      <c r="B48" s="65">
        <f>+C12</f>
        <v>727627.13</v>
      </c>
      <c r="C48" s="62" t="s">
        <v>1</v>
      </c>
    </row>
    <row r="49" spans="1:3" ht="17.25">
      <c r="A49" s="64">
        <f>+D12</f>
        <v>51600</v>
      </c>
      <c r="B49" s="65">
        <f>+E12</f>
        <v>13280.36</v>
      </c>
      <c r="C49" s="62" t="s">
        <v>2</v>
      </c>
    </row>
    <row r="50" spans="1:3" ht="17.25">
      <c r="A50" s="64">
        <f>+F12</f>
        <v>1824200</v>
      </c>
      <c r="B50" s="65">
        <f>+G12</f>
        <v>460914.69999999995</v>
      </c>
      <c r="C50" s="62" t="s">
        <v>3</v>
      </c>
    </row>
    <row r="51" spans="1:3" ht="17.25">
      <c r="A51" s="64">
        <f>+H12</f>
        <v>1115000</v>
      </c>
      <c r="B51" s="65">
        <f>+I12</f>
        <v>629871.25</v>
      </c>
      <c r="C51" s="62" t="s">
        <v>34</v>
      </c>
    </row>
    <row r="52" spans="1:3" ht="17.25">
      <c r="A52" s="64">
        <f>+J12</f>
        <v>10000</v>
      </c>
      <c r="B52" s="65">
        <f>+K12</f>
        <v>247744.89</v>
      </c>
      <c r="C52" s="62" t="s">
        <v>32</v>
      </c>
    </row>
    <row r="53" spans="1:3" ht="17.25">
      <c r="A53" s="66">
        <f>+L12</f>
        <v>0</v>
      </c>
      <c r="B53" s="65">
        <f>+M12</f>
        <v>5133.51</v>
      </c>
      <c r="C53" s="62" t="s">
        <v>100</v>
      </c>
    </row>
    <row r="54" spans="1:3" ht="17.25">
      <c r="A54" s="64">
        <f>+N12</f>
        <v>850000</v>
      </c>
      <c r="B54" s="65">
        <f>+O12</f>
        <v>353130.36000000004</v>
      </c>
      <c r="C54" s="62" t="s">
        <v>35</v>
      </c>
    </row>
    <row r="55" spans="1:3" ht="17.25">
      <c r="A55" s="64">
        <f>SUM(A48:A54)</f>
        <v>5832403</v>
      </c>
      <c r="B55" s="65">
        <f>SUM(B48:B54)</f>
        <v>2437702.2</v>
      </c>
      <c r="C55" s="62"/>
    </row>
    <row r="56" ht="16.5">
      <c r="B56" s="5"/>
    </row>
  </sheetData>
  <sheetProtection/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56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3.140625" style="1" customWidth="1"/>
    <col min="4" max="4" width="8.57421875" style="1" customWidth="1"/>
    <col min="5" max="5" width="13.140625" style="1" customWidth="1"/>
    <col min="6" max="6" width="12.421875" style="1" customWidth="1"/>
    <col min="7" max="7" width="13.140625" style="1" customWidth="1"/>
    <col min="8" max="8" width="13.00390625" style="1" customWidth="1"/>
    <col min="9" max="9" width="12.7109375" style="1" customWidth="1"/>
    <col min="10" max="10" width="12.140625" style="1" customWidth="1"/>
    <col min="11" max="12" width="13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50">
        <v>41000</v>
      </c>
    </row>
    <row r="3" spans="1:12" ht="18" thickTop="1">
      <c r="A3" s="2" t="s">
        <v>43</v>
      </c>
      <c r="B3" s="153" t="s">
        <v>44</v>
      </c>
      <c r="C3" s="153" t="s">
        <v>25</v>
      </c>
      <c r="D3" s="153" t="s">
        <v>45</v>
      </c>
      <c r="E3" s="189" t="s">
        <v>46</v>
      </c>
      <c r="F3" s="190"/>
      <c r="G3" s="190"/>
      <c r="H3" s="190"/>
      <c r="I3" s="190"/>
      <c r="J3" s="190"/>
      <c r="K3" s="191"/>
      <c r="L3" s="155" t="s">
        <v>24</v>
      </c>
    </row>
    <row r="4" spans="1:12" ht="17.25">
      <c r="A4" s="3"/>
      <c r="B4" s="154" t="s">
        <v>47</v>
      </c>
      <c r="C4" s="154" t="s">
        <v>47</v>
      </c>
      <c r="D4" s="154" t="s">
        <v>48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49</v>
      </c>
      <c r="J4" s="4" t="s">
        <v>29</v>
      </c>
      <c r="K4" s="4" t="s">
        <v>35</v>
      </c>
      <c r="L4" s="156" t="s">
        <v>50</v>
      </c>
    </row>
    <row r="5" spans="1:12" ht="16.5">
      <c r="A5" s="157" t="s">
        <v>15</v>
      </c>
      <c r="B5" s="101">
        <f>+INT!P12+INT!Q12</f>
        <v>7491620</v>
      </c>
      <c r="C5" s="101">
        <f>SUM(E5:K5)</f>
        <v>3492482.07</v>
      </c>
      <c r="D5" s="102">
        <f>+C5/B5</f>
        <v>0.466185160219018</v>
      </c>
      <c r="E5" s="101">
        <f>+INT!C12</f>
        <v>955215.3599999999</v>
      </c>
      <c r="F5" s="101">
        <f>+INT!E$12</f>
        <v>24100.75</v>
      </c>
      <c r="G5" s="101">
        <f>+INT!G$12</f>
        <v>558579.61</v>
      </c>
      <c r="H5" s="101">
        <f>+INT!I$12</f>
        <v>446272.91000000003</v>
      </c>
      <c r="I5" s="101">
        <f>+INT!K$12</f>
        <v>659364.67</v>
      </c>
      <c r="J5" s="101">
        <f>+INT!M12</f>
        <v>10488.369999999999</v>
      </c>
      <c r="K5" s="101">
        <f>+INT!O$12</f>
        <v>838460.3999999999</v>
      </c>
      <c r="L5" s="103">
        <f>+B5-C5</f>
        <v>3999137.93</v>
      </c>
    </row>
    <row r="6" spans="1:12" ht="16.5">
      <c r="A6" s="157" t="s">
        <v>16</v>
      </c>
      <c r="B6" s="101">
        <f>+GOB!P18+GOB!Q18</f>
        <v>11319609</v>
      </c>
      <c r="C6" s="101">
        <f>SUM(E6:K6)</f>
        <v>4652408.569999999</v>
      </c>
      <c r="D6" s="102">
        <f>+C6/B6</f>
        <v>0.41100435271218283</v>
      </c>
      <c r="E6" s="101">
        <f>+GOB!C18</f>
        <v>1916973.9399999997</v>
      </c>
      <c r="F6" s="101">
        <f>+GOB!E18</f>
        <v>36284.35</v>
      </c>
      <c r="G6" s="101">
        <f>+GOB!G18</f>
        <v>1324533.3900000001</v>
      </c>
      <c r="H6" s="101">
        <f>+GOB!I18</f>
        <v>390182.84</v>
      </c>
      <c r="I6" s="101">
        <f>+GOB!K18</f>
        <v>4206.93</v>
      </c>
      <c r="J6" s="101">
        <f>+GOB!M18</f>
        <v>225974.36</v>
      </c>
      <c r="K6" s="101">
        <f>+GOB!O18</f>
        <v>754252.7599999999</v>
      </c>
      <c r="L6" s="103">
        <f>+B6-C6</f>
        <v>6667200.430000001</v>
      </c>
    </row>
    <row r="7" spans="1:12" ht="16.5">
      <c r="A7" s="157" t="s">
        <v>17</v>
      </c>
      <c r="B7" s="101">
        <f>+SEH!P14+SEH!Q14</f>
        <v>11858940</v>
      </c>
      <c r="C7" s="101">
        <f>SUM(E7:K7)</f>
        <v>4056189.42</v>
      </c>
      <c r="D7" s="102">
        <f>+C7/B7</f>
        <v>0.34203642315417737</v>
      </c>
      <c r="E7" s="101">
        <f>+SEH!C14</f>
        <v>1925593.58</v>
      </c>
      <c r="F7" s="101">
        <f>+SEH!E14</f>
        <v>844123.19</v>
      </c>
      <c r="G7" s="101">
        <f>+SEH!G14</f>
        <v>677735.36</v>
      </c>
      <c r="H7" s="101">
        <f>+SEH!I14</f>
        <v>0</v>
      </c>
      <c r="I7" s="101">
        <f>+SEH!K14</f>
        <v>35469.9</v>
      </c>
      <c r="J7" s="101">
        <f>+SEH!M14</f>
        <v>932.08</v>
      </c>
      <c r="K7" s="101">
        <f>+SEH!O14</f>
        <v>572335.31</v>
      </c>
      <c r="L7" s="103">
        <f>+B7-C7</f>
        <v>7802750.58</v>
      </c>
    </row>
    <row r="8" spans="1:12" ht="16.5">
      <c r="A8" s="157" t="s">
        <v>20</v>
      </c>
      <c r="B8" s="101">
        <f>+SAS!P13+SAS!Q13</f>
        <v>20213388</v>
      </c>
      <c r="C8" s="101">
        <f aca="true" t="shared" si="0" ref="C8:C15">SUM(E8:K8)</f>
        <v>8540567.75</v>
      </c>
      <c r="D8" s="102">
        <f aca="true" t="shared" si="1" ref="D8:D15">+C8/B8</f>
        <v>0.42252034888955775</v>
      </c>
      <c r="E8" s="101">
        <f>+SAS!C13</f>
        <v>3285022.7299999995</v>
      </c>
      <c r="F8" s="101">
        <f>+SAS!E13</f>
        <v>31870.48</v>
      </c>
      <c r="G8" s="101">
        <f>+SAS!G13</f>
        <v>1273430.69</v>
      </c>
      <c r="H8" s="101">
        <f>+SAS!I13</f>
        <v>2461185.44</v>
      </c>
      <c r="I8" s="101">
        <f>+SAS!K13</f>
        <v>35128.409999999996</v>
      </c>
      <c r="J8" s="101">
        <f>+SAS!M13</f>
        <v>5327</v>
      </c>
      <c r="K8" s="101">
        <f>+SAS!O13</f>
        <v>1448603</v>
      </c>
      <c r="L8" s="103">
        <f aca="true" t="shared" si="2" ref="L8:L15">+B8-C8</f>
        <v>11672820.25</v>
      </c>
    </row>
    <row r="9" spans="1:12" ht="16.5">
      <c r="A9" s="157" t="s">
        <v>18</v>
      </c>
      <c r="B9" s="101">
        <f>+SOP!P13+SOP!Q13</f>
        <v>16374140</v>
      </c>
      <c r="C9" s="101">
        <f t="shared" si="0"/>
        <v>12843552.99</v>
      </c>
      <c r="D9" s="102">
        <f t="shared" si="1"/>
        <v>0.7843803088284331</v>
      </c>
      <c r="E9" s="101">
        <f>+SOP!C13</f>
        <v>1424926.62</v>
      </c>
      <c r="F9" s="101">
        <f>+SOP!E13</f>
        <v>62601.899999999994</v>
      </c>
      <c r="G9" s="101">
        <f>+SOP!G13</f>
        <v>706290.86</v>
      </c>
      <c r="H9" s="101">
        <f>+SOP!I13</f>
        <v>6380</v>
      </c>
      <c r="I9" s="101">
        <f>+SOP!K13</f>
        <v>8263.91</v>
      </c>
      <c r="J9" s="101">
        <f>+SOP!M13</f>
        <v>6145206.91</v>
      </c>
      <c r="K9" s="101">
        <f>+SOP!O13</f>
        <v>4489882.79</v>
      </c>
      <c r="L9" s="103">
        <f t="shared" si="2"/>
        <v>3530587.01</v>
      </c>
    </row>
    <row r="10" spans="1:12" ht="16.5">
      <c r="A10" s="157" t="s">
        <v>86</v>
      </c>
      <c r="B10" s="101">
        <f>+SFOI!P13+SFOI!Q13</f>
        <v>20789187</v>
      </c>
      <c r="C10" s="101">
        <f t="shared" si="0"/>
        <v>7111681.890000001</v>
      </c>
      <c r="D10" s="102">
        <f t="shared" si="1"/>
        <v>0.34208561835534984</v>
      </c>
      <c r="E10" s="101">
        <f>+SFOI!C13</f>
        <v>3989340.6100000003</v>
      </c>
      <c r="F10" s="101">
        <f>+SFOI!E13</f>
        <v>139000.81</v>
      </c>
      <c r="G10" s="101">
        <f>+SFOI!G13</f>
        <v>1910445.98</v>
      </c>
      <c r="H10" s="101">
        <f>+SFOI!I13</f>
        <v>1559.44</v>
      </c>
      <c r="I10" s="101">
        <f>+SFOI!K13</f>
        <v>13127.869999999999</v>
      </c>
      <c r="J10" s="101">
        <f>+SFOI!M13</f>
        <v>0</v>
      </c>
      <c r="K10" s="101">
        <f>+SFOI!O13</f>
        <v>1058207.18</v>
      </c>
      <c r="L10" s="103">
        <f t="shared" si="2"/>
        <v>13677505.11</v>
      </c>
    </row>
    <row r="11" spans="1:12" ht="16.5">
      <c r="A11" s="157" t="s">
        <v>21</v>
      </c>
      <c r="B11" s="101">
        <f>+'CD'!P12+'CD'!Q12</f>
        <v>1698472</v>
      </c>
      <c r="C11" s="101">
        <f t="shared" si="0"/>
        <v>693442.15</v>
      </c>
      <c r="D11" s="102">
        <f t="shared" si="1"/>
        <v>0.40827411343843173</v>
      </c>
      <c r="E11" s="101">
        <f>+'CD'!C12</f>
        <v>438003.18</v>
      </c>
      <c r="F11" s="101">
        <f>+'CD'!E12</f>
        <v>19538.84</v>
      </c>
      <c r="G11" s="101">
        <f>+'CD'!G12</f>
        <v>6567.04</v>
      </c>
      <c r="H11" s="101">
        <f>+'CD'!I12</f>
        <v>108108.45</v>
      </c>
      <c r="I11" s="101">
        <f>+'CD'!K12</f>
        <v>0</v>
      </c>
      <c r="J11" s="101">
        <f>+'CD'!M12</f>
        <v>0</v>
      </c>
      <c r="K11" s="101">
        <f>+'CD'!O12</f>
        <v>121224.64</v>
      </c>
      <c r="L11" s="103">
        <f t="shared" si="2"/>
        <v>1005029.85</v>
      </c>
    </row>
    <row r="12" spans="1:12" ht="16.5">
      <c r="A12" s="157" t="s">
        <v>22</v>
      </c>
      <c r="B12" s="101">
        <f>+'CM'!N12+'CM'!O12</f>
        <v>708925</v>
      </c>
      <c r="C12" s="101">
        <f t="shared" si="0"/>
        <v>203664.60000000003</v>
      </c>
      <c r="D12" s="102">
        <f t="shared" si="1"/>
        <v>0.2872865253729238</v>
      </c>
      <c r="E12" s="101">
        <f>+'CM'!C12</f>
        <v>124925.1</v>
      </c>
      <c r="F12" s="101">
        <f>+'CM'!E12</f>
        <v>0</v>
      </c>
      <c r="G12" s="101">
        <f>+'CM'!G12</f>
        <v>29852.61</v>
      </c>
      <c r="H12" s="101">
        <f>+'CM'!I12</f>
        <v>0</v>
      </c>
      <c r="I12" s="101">
        <f>+'CM'!K12</f>
        <v>0</v>
      </c>
      <c r="J12" s="101">
        <v>0</v>
      </c>
      <c r="K12" s="101">
        <f>+'CM'!M12</f>
        <v>48886.89</v>
      </c>
      <c r="L12" s="103">
        <f t="shared" si="2"/>
        <v>505260.39999999997</v>
      </c>
    </row>
    <row r="13" spans="1:12" ht="16.5">
      <c r="A13" s="157" t="s">
        <v>19</v>
      </c>
      <c r="B13" s="101">
        <f>+SSP!P13+SSP!Q13</f>
        <v>36794267</v>
      </c>
      <c r="C13" s="101">
        <f t="shared" si="0"/>
        <v>14641916.599999998</v>
      </c>
      <c r="D13" s="102">
        <f t="shared" si="1"/>
        <v>0.3979401627976445</v>
      </c>
      <c r="E13" s="101">
        <f>+SSP!C13</f>
        <v>6896245.249999999</v>
      </c>
      <c r="F13" s="101">
        <f>+SSP!E13</f>
        <v>1708823.05</v>
      </c>
      <c r="G13" s="101">
        <f>+SSP!G13</f>
        <v>3386802.28</v>
      </c>
      <c r="H13" s="101">
        <f>+SSP!I13</f>
        <v>55032</v>
      </c>
      <c r="I13" s="101">
        <f>+SSP!K13</f>
        <v>31670.86</v>
      </c>
      <c r="J13" s="101">
        <f>+SSP!M13</f>
        <v>521916.46</v>
      </c>
      <c r="K13" s="101">
        <f>+SSP!O13</f>
        <v>2041426.6999999997</v>
      </c>
      <c r="L13" s="103">
        <f t="shared" si="2"/>
        <v>22152350.400000002</v>
      </c>
    </row>
    <row r="14" spans="1:12" ht="16.5">
      <c r="A14" s="157" t="s">
        <v>118</v>
      </c>
      <c r="B14" s="101">
        <f>+CULTURA!P10+CULTURA!Q10</f>
        <v>4842558</v>
      </c>
      <c r="C14" s="101">
        <f t="shared" si="0"/>
        <v>1609455.72</v>
      </c>
      <c r="D14" s="102">
        <f t="shared" si="1"/>
        <v>0.3323565190132983</v>
      </c>
      <c r="E14" s="101">
        <f>+CULTURA!C10</f>
        <v>709609.8299999998</v>
      </c>
      <c r="F14" s="101">
        <f>+CULTURA!E10</f>
        <v>23721.3</v>
      </c>
      <c r="G14" s="101">
        <f>+CULTURA!G10</f>
        <v>410899.50000000006</v>
      </c>
      <c r="H14" s="101">
        <f>+CULTURA!I10</f>
        <v>134286.85</v>
      </c>
      <c r="I14" s="101">
        <f>+CULTURA!K10</f>
        <v>4775</v>
      </c>
      <c r="J14" s="101">
        <f>+CULTURA!M10</f>
        <v>1383.52</v>
      </c>
      <c r="K14" s="101">
        <f>+CULTURA!O10</f>
        <v>324779.72000000003</v>
      </c>
      <c r="L14" s="103">
        <f t="shared" si="2"/>
        <v>3233102.2800000003</v>
      </c>
    </row>
    <row r="15" spans="1:12" ht="16.5">
      <c r="A15" s="157" t="s">
        <v>119</v>
      </c>
      <c r="B15" s="101">
        <f>+DEPORTES!P12+DEPORTES!Q12</f>
        <v>5832403</v>
      </c>
      <c r="C15" s="101">
        <f t="shared" si="0"/>
        <v>2437702.2</v>
      </c>
      <c r="D15" s="102">
        <f t="shared" si="1"/>
        <v>0.4179584641184774</v>
      </c>
      <c r="E15" s="101">
        <f>+DEPORTES!C12</f>
        <v>727627.13</v>
      </c>
      <c r="F15" s="101">
        <f>+DEPORTES!E12</f>
        <v>13280.36</v>
      </c>
      <c r="G15" s="101">
        <f>+DEPORTES!G12</f>
        <v>460914.69999999995</v>
      </c>
      <c r="H15" s="101">
        <f>+DEPORTES!I12</f>
        <v>629871.25</v>
      </c>
      <c r="I15" s="101">
        <f>+DEPORTES!K12</f>
        <v>247744.89</v>
      </c>
      <c r="J15" s="101">
        <f>+DEPORTES!M12</f>
        <v>5133.51</v>
      </c>
      <c r="K15" s="101">
        <f>+DEPORTES!O12</f>
        <v>353130.36000000004</v>
      </c>
      <c r="L15" s="103">
        <f t="shared" si="2"/>
        <v>3394700.8</v>
      </c>
    </row>
    <row r="16" spans="1:12" ht="17.25">
      <c r="A16" s="16" t="s">
        <v>11</v>
      </c>
      <c r="B16" s="11">
        <f>SUM(B5:B15)</f>
        <v>137923509</v>
      </c>
      <c r="C16" s="11">
        <f>SUM(C5:C15)</f>
        <v>60283063.95999999</v>
      </c>
      <c r="D16" s="12">
        <f>+C16/B16</f>
        <v>0.4370760604705902</v>
      </c>
      <c r="E16" s="11">
        <f aca="true" t="shared" si="3" ref="E16:L16">SUM(E5:E15)</f>
        <v>22393483.329999994</v>
      </c>
      <c r="F16" s="11">
        <f t="shared" si="3"/>
        <v>2903345.03</v>
      </c>
      <c r="G16" s="11">
        <f t="shared" si="3"/>
        <v>10746052.02</v>
      </c>
      <c r="H16" s="11">
        <f t="shared" si="3"/>
        <v>4232879.18</v>
      </c>
      <c r="I16" s="11">
        <f t="shared" si="3"/>
        <v>1039752.4400000002</v>
      </c>
      <c r="J16" s="11">
        <f t="shared" si="3"/>
        <v>6916362.209999999</v>
      </c>
      <c r="K16" s="11">
        <f t="shared" si="3"/>
        <v>12051189.75</v>
      </c>
      <c r="L16" s="19">
        <f t="shared" si="3"/>
        <v>77640445.04</v>
      </c>
    </row>
    <row r="17" spans="1:12" ht="18" thickBot="1">
      <c r="A17" s="15" t="s">
        <v>51</v>
      </c>
      <c r="B17" s="6"/>
      <c r="C17" s="7"/>
      <c r="D17" s="8"/>
      <c r="E17" s="13">
        <f>+E16/71000000</f>
        <v>0.31540117366197173</v>
      </c>
      <c r="F17" s="14">
        <f>+F16/(8720196-300000)</f>
        <v>0.34480729783487224</v>
      </c>
      <c r="G17" s="14">
        <f>+G16/(27198807-1652000)</f>
        <v>0.4206416880199549</v>
      </c>
      <c r="H17" s="14">
        <f>+H16/9080689</f>
        <v>0.46614074989243653</v>
      </c>
      <c r="I17" s="14">
        <f>+I16/(3429817+800000-500000)</f>
        <v>0.2787676821677847</v>
      </c>
      <c r="J17" s="14">
        <f>+J16/(9094000-1000000)</f>
        <v>0.8545048443291325</v>
      </c>
      <c r="K17" s="14">
        <f>+K16/(8600000+3452000)</f>
        <v>0.9999327704945238</v>
      </c>
      <c r="L17" s="9"/>
    </row>
    <row r="18" spans="2:12" ht="17.25" thickTop="1">
      <c r="B18" s="5"/>
      <c r="C18" s="52"/>
      <c r="D18" s="5"/>
      <c r="L18" s="5"/>
    </row>
    <row r="19" spans="8:11" ht="16.5">
      <c r="H19" s="5"/>
      <c r="I19" s="5"/>
      <c r="J19" s="5"/>
      <c r="K19" s="128" t="s">
        <v>52</v>
      </c>
    </row>
    <row r="20" ht="16.5">
      <c r="K20" s="128"/>
    </row>
    <row r="21" ht="16.5">
      <c r="K21" s="129" t="s">
        <v>53</v>
      </c>
    </row>
    <row r="22" ht="16.5">
      <c r="K22" s="128"/>
    </row>
    <row r="23" ht="16.5">
      <c r="K23" s="151" t="s">
        <v>54</v>
      </c>
    </row>
    <row r="24" ht="16.5">
      <c r="K24" s="128"/>
    </row>
    <row r="25" ht="16.5">
      <c r="K25" s="130" t="s">
        <v>55</v>
      </c>
    </row>
    <row r="26" ht="16.5">
      <c r="K26" s="128"/>
    </row>
    <row r="27" ht="16.5">
      <c r="K27" s="135" t="s">
        <v>56</v>
      </c>
    </row>
    <row r="28" ht="16.5">
      <c r="K28" s="128"/>
    </row>
    <row r="29" ht="16.5">
      <c r="K29" s="131" t="s">
        <v>57</v>
      </c>
    </row>
    <row r="30" ht="16.5">
      <c r="K30" s="128"/>
    </row>
    <row r="31" ht="16.5">
      <c r="K31" s="132" t="s">
        <v>58</v>
      </c>
    </row>
    <row r="32" ht="16.5">
      <c r="K32" s="128"/>
    </row>
    <row r="33" ht="16.5">
      <c r="K33" s="133" t="s">
        <v>59</v>
      </c>
    </row>
    <row r="34" ht="16.5">
      <c r="K34" s="128"/>
    </row>
    <row r="35" ht="16.5">
      <c r="K35" s="134" t="s">
        <v>60</v>
      </c>
    </row>
    <row r="60" spans="5:13" ht="16.5">
      <c r="E60" s="1" t="s">
        <v>60</v>
      </c>
      <c r="F60" s="1" t="s">
        <v>59</v>
      </c>
      <c r="G60" s="1" t="s">
        <v>58</v>
      </c>
      <c r="H60" s="1" t="s">
        <v>61</v>
      </c>
      <c r="I60" s="1" t="s">
        <v>62</v>
      </c>
      <c r="J60" s="1" t="s">
        <v>63</v>
      </c>
      <c r="K60" s="1" t="s">
        <v>54</v>
      </c>
      <c r="L60" s="1" t="s">
        <v>64</v>
      </c>
      <c r="M60" s="1" t="s">
        <v>65</v>
      </c>
    </row>
    <row r="61" spans="1:13" ht="16.5">
      <c r="A61" s="1" t="s">
        <v>66</v>
      </c>
      <c r="E61" s="10">
        <f>+E5/B5</f>
        <v>0.12750451304257288</v>
      </c>
      <c r="F61" s="10">
        <f aca="true" t="shared" si="4" ref="F61:L61">+F5/$B$5</f>
        <v>0.0032170278257573127</v>
      </c>
      <c r="G61" s="10">
        <f t="shared" si="4"/>
        <v>0.07456059036630261</v>
      </c>
      <c r="H61" s="10">
        <f t="shared" si="4"/>
        <v>0.05956961378179887</v>
      </c>
      <c r="I61" s="10">
        <f t="shared" si="4"/>
        <v>0.08801362989580358</v>
      </c>
      <c r="J61" s="10">
        <f t="shared" si="4"/>
        <v>0.0014000136152127309</v>
      </c>
      <c r="K61" s="10">
        <f t="shared" si="4"/>
        <v>0.11191977169157004</v>
      </c>
      <c r="L61" s="10">
        <f t="shared" si="4"/>
        <v>0.533814839780982</v>
      </c>
      <c r="M61" s="10">
        <f>SUM(E61:L61)</f>
        <v>1</v>
      </c>
    </row>
    <row r="62" spans="1:13" ht="16.5">
      <c r="A62" s="1" t="s">
        <v>93</v>
      </c>
      <c r="E62" s="10">
        <f>+E6/B6</f>
        <v>0.16934983708359536</v>
      </c>
      <c r="F62" s="10">
        <f>+F6/B6</f>
        <v>0.0032054419900899404</v>
      </c>
      <c r="G62" s="10">
        <f>+G6/B6</f>
        <v>0.11701229167897938</v>
      </c>
      <c r="H62" s="10">
        <f>+H6/B6</f>
        <v>0.034469639366518756</v>
      </c>
      <c r="I62" s="10">
        <f>+I6/B6</f>
        <v>0.0003716497628142456</v>
      </c>
      <c r="J62" s="10">
        <f>+J6/B6</f>
        <v>0.019963088831071812</v>
      </c>
      <c r="K62" s="10">
        <f>+K6/B6</f>
        <v>0.06663240399911338</v>
      </c>
      <c r="L62" s="10">
        <f>+L6/B6</f>
        <v>0.5889956472878172</v>
      </c>
      <c r="M62" s="10">
        <f>SUM(E62:L62)</f>
        <v>1</v>
      </c>
    </row>
    <row r="63" spans="1:13" ht="16.5">
      <c r="A63" s="1" t="s">
        <v>94</v>
      </c>
      <c r="E63" s="10">
        <f>+E7/B7</f>
        <v>0.16237484800496504</v>
      </c>
      <c r="F63" s="10">
        <f>+F7/B7</f>
        <v>0.07118032387380321</v>
      </c>
      <c r="G63" s="10">
        <f>+G7/B7</f>
        <v>0.0571497418824954</v>
      </c>
      <c r="H63" s="10">
        <f>+H7/B7</f>
        <v>0</v>
      </c>
      <c r="I63" s="10">
        <f>+I7/B7</f>
        <v>0.0029909840171212605</v>
      </c>
      <c r="J63" s="10">
        <f>+J7/B7</f>
        <v>7.859724393579865E-05</v>
      </c>
      <c r="K63" s="10">
        <f>+K7/B7</f>
        <v>0.048261928131856646</v>
      </c>
      <c r="L63" s="10">
        <f>+L7/B7</f>
        <v>0.6579635768458226</v>
      </c>
      <c r="M63" s="10">
        <f>SUM(E63:L63)</f>
        <v>1</v>
      </c>
    </row>
    <row r="64" spans="1:13" ht="16.5">
      <c r="A64" s="1" t="s">
        <v>67</v>
      </c>
      <c r="E64" s="10">
        <f aca="true" t="shared" si="5" ref="E64:L64">+E8/$B$8</f>
        <v>0.16251717574510516</v>
      </c>
      <c r="F64" s="10">
        <f t="shared" si="5"/>
        <v>0.0015767015405829046</v>
      </c>
      <c r="G64" s="10">
        <f t="shared" si="5"/>
        <v>0.06299936903204945</v>
      </c>
      <c r="H64" s="10">
        <f t="shared" si="5"/>
        <v>0.12176016410509707</v>
      </c>
      <c r="I64" s="10">
        <f t="shared" si="5"/>
        <v>0.001737878380408074</v>
      </c>
      <c r="J64" s="10">
        <f t="shared" si="5"/>
        <v>0.0002635382054705525</v>
      </c>
      <c r="K64" s="10">
        <f t="shared" si="5"/>
        <v>0.07166552188084452</v>
      </c>
      <c r="L64" s="10">
        <f t="shared" si="5"/>
        <v>0.5774796511104422</v>
      </c>
      <c r="M64" s="10">
        <f aca="true" t="shared" si="6" ref="M64:M71">SUM(E64:L64)</f>
        <v>0.9999999999999999</v>
      </c>
    </row>
    <row r="65" spans="1:13" ht="16.5">
      <c r="A65" s="1" t="s">
        <v>68</v>
      </c>
      <c r="E65" s="10">
        <f>+E9/$B$9</f>
        <v>0.08702298990969907</v>
      </c>
      <c r="F65" s="10">
        <f aca="true" t="shared" si="7" ref="F65:L65">+F9/$B$9</f>
        <v>0.0038232175857785505</v>
      </c>
      <c r="G65" s="10">
        <f t="shared" si="7"/>
        <v>0.04313453164563146</v>
      </c>
      <c r="H65" s="10">
        <f t="shared" si="7"/>
        <v>0.00038963878408270603</v>
      </c>
      <c r="I65" s="10">
        <f t="shared" si="7"/>
        <v>0.0005046927655437171</v>
      </c>
      <c r="J65" s="10">
        <f t="shared" si="7"/>
        <v>0.375299521684803</v>
      </c>
      <c r="K65" s="10">
        <f t="shared" si="7"/>
        <v>0.27420571645289465</v>
      </c>
      <c r="L65" s="10">
        <f t="shared" si="7"/>
        <v>0.21561969117156685</v>
      </c>
      <c r="M65" s="10">
        <f t="shared" si="6"/>
        <v>1</v>
      </c>
    </row>
    <row r="66" spans="1:13" ht="16.5">
      <c r="A66" s="1" t="s">
        <v>71</v>
      </c>
      <c r="E66" s="10">
        <f>+E10/$B$10</f>
        <v>0.1918949793467152</v>
      </c>
      <c r="F66" s="10">
        <f aca="true" t="shared" si="8" ref="F66:L66">+F10/$B$10</f>
        <v>0.0066862071133421425</v>
      </c>
      <c r="G66" s="10">
        <f t="shared" si="8"/>
        <v>0.09189613716014965</v>
      </c>
      <c r="H66" s="10">
        <f t="shared" si="8"/>
        <v>7.501207238166649E-05</v>
      </c>
      <c r="I66" s="10">
        <f t="shared" si="8"/>
        <v>0.0006314758725293105</v>
      </c>
      <c r="J66" s="10">
        <f t="shared" si="8"/>
        <v>0</v>
      </c>
      <c r="K66" s="10">
        <f t="shared" si="8"/>
        <v>0.05090180679023186</v>
      </c>
      <c r="L66" s="10">
        <f t="shared" si="8"/>
        <v>0.6579143816446501</v>
      </c>
      <c r="M66" s="10">
        <f t="shared" si="6"/>
        <v>1</v>
      </c>
    </row>
    <row r="67" spans="1:13" ht="16.5">
      <c r="A67" s="1" t="s">
        <v>69</v>
      </c>
      <c r="E67" s="10">
        <f>+E11/$B$11</f>
        <v>0.2578807186694865</v>
      </c>
      <c r="F67" s="10">
        <f aca="true" t="shared" si="9" ref="F67:L67">+F11/$B$11</f>
        <v>0.011503775157906636</v>
      </c>
      <c r="G67" s="10">
        <f t="shared" si="9"/>
        <v>0.0038664399530872456</v>
      </c>
      <c r="H67" s="10">
        <f t="shared" si="9"/>
        <v>0.06365041637424697</v>
      </c>
      <c r="I67" s="10">
        <f t="shared" si="9"/>
        <v>0</v>
      </c>
      <c r="J67" s="10">
        <f t="shared" si="9"/>
        <v>0</v>
      </c>
      <c r="K67" s="10">
        <f t="shared" si="9"/>
        <v>0.07137276328370441</v>
      </c>
      <c r="L67" s="10">
        <f t="shared" si="9"/>
        <v>0.5917258865615682</v>
      </c>
      <c r="M67" s="10">
        <f t="shared" si="6"/>
        <v>0.9999999999999999</v>
      </c>
    </row>
    <row r="68" spans="1:13" ht="16.5">
      <c r="A68" s="1" t="s">
        <v>97</v>
      </c>
      <c r="E68" s="10">
        <f>+E12/$B$12</f>
        <v>0.17621765348943824</v>
      </c>
      <c r="F68" s="10">
        <f aca="true" t="shared" si="10" ref="F68:L68">+F12/$B$12</f>
        <v>0</v>
      </c>
      <c r="G68" s="10">
        <f t="shared" si="10"/>
        <v>0.04210968720245442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0.06895918468103114</v>
      </c>
      <c r="L68" s="10">
        <f t="shared" si="10"/>
        <v>0.7127134746270761</v>
      </c>
      <c r="M68" s="10">
        <f t="shared" si="6"/>
        <v>1</v>
      </c>
    </row>
    <row r="69" spans="1:13" ht="16.5">
      <c r="A69" s="1" t="s">
        <v>72</v>
      </c>
      <c r="E69" s="10">
        <f>+E13/$B$13</f>
        <v>0.18742716766174466</v>
      </c>
      <c r="F69" s="10">
        <f aca="true" t="shared" si="11" ref="F69:L69">+F13/$B$13</f>
        <v>0.04644264417606145</v>
      </c>
      <c r="G69" s="10">
        <f t="shared" si="11"/>
        <v>0.09204701047584396</v>
      </c>
      <c r="H69" s="10">
        <f t="shared" si="11"/>
        <v>0.001495667789767357</v>
      </c>
      <c r="I69" s="10">
        <f t="shared" si="11"/>
        <v>0.0008607552910348778</v>
      </c>
      <c r="J69" s="10">
        <f t="shared" si="11"/>
        <v>0.01418472231013598</v>
      </c>
      <c r="K69" s="10">
        <f t="shared" si="11"/>
        <v>0.0554821950930562</v>
      </c>
      <c r="L69" s="10">
        <f t="shared" si="11"/>
        <v>0.6020598372023556</v>
      </c>
      <c r="M69" s="10">
        <f t="shared" si="6"/>
        <v>1</v>
      </c>
    </row>
    <row r="70" spans="1:13" ht="16.5">
      <c r="A70" s="1" t="s">
        <v>73</v>
      </c>
      <c r="E70" s="10">
        <f>+E14/$B$14</f>
        <v>0.14653615506515355</v>
      </c>
      <c r="F70" s="10">
        <f aca="true" t="shared" si="12" ref="F70:L70">+F14/$B$14</f>
        <v>0.004898506120112552</v>
      </c>
      <c r="G70" s="10">
        <f t="shared" si="12"/>
        <v>0.08485174570960224</v>
      </c>
      <c r="H70" s="10">
        <f t="shared" si="12"/>
        <v>0.027730560996894617</v>
      </c>
      <c r="I70" s="10">
        <f t="shared" si="12"/>
        <v>0.0009860491087561574</v>
      </c>
      <c r="J70" s="10">
        <f t="shared" si="12"/>
        <v>0.0002857002435489673</v>
      </c>
      <c r="K70" s="10">
        <f t="shared" si="12"/>
        <v>0.06706780176923023</v>
      </c>
      <c r="L70" s="10">
        <f t="shared" si="12"/>
        <v>0.6676434809867017</v>
      </c>
      <c r="M70" s="10">
        <f t="shared" si="6"/>
        <v>1</v>
      </c>
    </row>
    <row r="71" spans="1:13" ht="16.5">
      <c r="A71" s="1" t="s">
        <v>70</v>
      </c>
      <c r="E71" s="10">
        <f>+E15/$B$15</f>
        <v>0.12475597622455101</v>
      </c>
      <c r="F71" s="10">
        <f aca="true" t="shared" si="13" ref="F71:L71">+F15/$B$15</f>
        <v>0.002276996291237077</v>
      </c>
      <c r="G71" s="10">
        <f t="shared" si="13"/>
        <v>0.07902655217755014</v>
      </c>
      <c r="H71" s="10">
        <f t="shared" si="13"/>
        <v>0.10799515225542543</v>
      </c>
      <c r="I71" s="10">
        <f t="shared" si="13"/>
        <v>0.042477327098281795</v>
      </c>
      <c r="J71" s="10">
        <f t="shared" si="13"/>
        <v>0.0008801706603607468</v>
      </c>
      <c r="K71" s="10">
        <f t="shared" si="13"/>
        <v>0.06054628941107122</v>
      </c>
      <c r="L71" s="10">
        <f t="shared" si="13"/>
        <v>0.5820415358815225</v>
      </c>
      <c r="M71" s="10">
        <f t="shared" si="6"/>
        <v>0.9999999999999999</v>
      </c>
    </row>
  </sheetData>
  <sheetProtection/>
  <mergeCells count="1">
    <mergeCell ref="E3:K3"/>
  </mergeCells>
  <printOptions horizontalCentered="1"/>
  <pageMargins left="0.98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7"/>
  <sheetViews>
    <sheetView zoomScalePageLayoutView="0" workbookViewId="0" topLeftCell="A2">
      <selection activeCell="R17" sqref="R17"/>
    </sheetView>
  </sheetViews>
  <sheetFormatPr defaultColWidth="11.421875" defaultRowHeight="15"/>
  <cols>
    <col min="1" max="1" width="21.8515625" style="1" customWidth="1"/>
    <col min="2" max="2" width="9.28125" style="1" customWidth="1"/>
    <col min="3" max="3" width="12.57421875" style="1" customWidth="1"/>
    <col min="4" max="4" width="8.00390625" style="1" customWidth="1"/>
    <col min="5" max="5" width="9.421875" style="1" customWidth="1"/>
    <col min="6" max="6" width="9.28125" style="1" customWidth="1"/>
    <col min="7" max="7" width="12.00390625" style="1" customWidth="1"/>
    <col min="8" max="8" width="8.00390625" style="1" customWidth="1"/>
    <col min="9" max="9" width="10.7109375" style="1" customWidth="1"/>
    <col min="10" max="10" width="8.421875" style="1" customWidth="1"/>
    <col min="11" max="11" width="9.140625" style="1" customWidth="1"/>
    <col min="12" max="12" width="6.421875" style="1" customWidth="1"/>
    <col min="13" max="13" width="10.421875" style="1" customWidth="1"/>
    <col min="14" max="14" width="9.28125" style="1" customWidth="1"/>
    <col min="15" max="15" width="10.7109375" style="1" customWidth="1"/>
    <col min="16" max="16" width="12.28125" style="1" customWidth="1"/>
    <col min="17" max="17" width="12.140625" style="1" customWidth="1"/>
    <col min="18" max="19" width="13.8515625" style="1" bestFit="1" customWidth="1"/>
    <col min="20" max="16384" width="11.421875" style="1" customWidth="1"/>
  </cols>
  <sheetData>
    <row r="2" spans="1:15" ht="18">
      <c r="A2" s="146" t="s">
        <v>0</v>
      </c>
      <c r="B2" s="165" t="s">
        <v>104</v>
      </c>
      <c r="C2" s="165"/>
      <c r="D2" s="170"/>
      <c r="E2" s="170"/>
      <c r="I2" s="21" t="s">
        <v>23</v>
      </c>
      <c r="J2" s="21"/>
      <c r="K2" s="150">
        <v>41000</v>
      </c>
      <c r="L2" s="122"/>
      <c r="M2" s="122"/>
      <c r="O2" s="20"/>
    </row>
    <row r="3" spans="2:4" ht="6.75" customHeight="1">
      <c r="B3" s="171"/>
      <c r="C3" s="171"/>
      <c r="D3" s="67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9" ht="17.25">
      <c r="A7" s="31" t="s">
        <v>14</v>
      </c>
      <c r="B7" s="68">
        <v>825567</v>
      </c>
      <c r="C7" s="33">
        <f>-2613.03+237746.73+1292.72+24966.06</f>
        <v>261392.48</v>
      </c>
      <c r="D7" s="68">
        <v>32090</v>
      </c>
      <c r="E7" s="33">
        <f>2656.57+9801.38</f>
        <v>12457.949999999999</v>
      </c>
      <c r="F7" s="68">
        <f>464000-30000</f>
        <v>434000</v>
      </c>
      <c r="G7" s="33">
        <f>205130.8+167311.96</f>
        <v>372442.76</v>
      </c>
      <c r="H7" s="68">
        <v>340000</v>
      </c>
      <c r="I7" s="33">
        <f>68572.73+221883.67</f>
        <v>290456.4</v>
      </c>
      <c r="J7" s="68">
        <v>12000</v>
      </c>
      <c r="K7" s="33">
        <v>215.24</v>
      </c>
      <c r="L7" s="68">
        <v>0</v>
      </c>
      <c r="M7" s="33">
        <f>3529.4+24610.2</f>
        <v>28139.600000000002</v>
      </c>
      <c r="N7" s="68">
        <f>600000+800000</f>
        <v>1400000</v>
      </c>
      <c r="O7" s="33">
        <f>31384.96+373599.18</f>
        <v>404984.14</v>
      </c>
      <c r="P7" s="34">
        <f>+O7+K7+I7+G7+E7+C7+M7</f>
        <v>1370088.57</v>
      </c>
      <c r="Q7" s="34">
        <f>+B7+D7+F7+H7+J7+N7-P7+L7</f>
        <v>1673568.43</v>
      </c>
      <c r="R7" s="5"/>
      <c r="S7" s="5"/>
    </row>
    <row r="8" spans="1:17" ht="17.25">
      <c r="A8" s="31" t="s">
        <v>125</v>
      </c>
      <c r="B8" s="68">
        <v>173794</v>
      </c>
      <c r="C8" s="33">
        <f>4168.74+50821.53</f>
        <v>54990.27</v>
      </c>
      <c r="D8" s="68">
        <v>2550</v>
      </c>
      <c r="E8" s="33">
        <v>0</v>
      </c>
      <c r="F8" s="68">
        <v>116000</v>
      </c>
      <c r="G8" s="33">
        <v>190.75</v>
      </c>
      <c r="H8" s="68">
        <v>25000</v>
      </c>
      <c r="I8" s="33">
        <v>0</v>
      </c>
      <c r="J8" s="68">
        <v>0</v>
      </c>
      <c r="K8" s="33">
        <v>0</v>
      </c>
      <c r="L8" s="68">
        <v>0</v>
      </c>
      <c r="M8" s="33">
        <v>0</v>
      </c>
      <c r="N8" s="68">
        <v>0</v>
      </c>
      <c r="O8" s="37">
        <v>0</v>
      </c>
      <c r="P8" s="34">
        <f>+O8+K8+I8+G8+E8+C8+M8</f>
        <v>55181.02</v>
      </c>
      <c r="Q8" s="34">
        <f>+B8+D8+F8+H8+J8+N8-P8</f>
        <v>262162.98</v>
      </c>
    </row>
    <row r="9" spans="1:17" ht="17.25">
      <c r="A9" s="31" t="s">
        <v>126</v>
      </c>
      <c r="B9" s="68">
        <v>340881</v>
      </c>
      <c r="C9" s="33">
        <f>10378.92+105565.36</f>
        <v>115944.28</v>
      </c>
      <c r="D9" s="68">
        <v>19600</v>
      </c>
      <c r="E9" s="33">
        <v>0</v>
      </c>
      <c r="F9" s="68">
        <v>0</v>
      </c>
      <c r="G9" s="33">
        <v>165.51</v>
      </c>
      <c r="H9" s="68">
        <v>0</v>
      </c>
      <c r="I9" s="33">
        <v>0</v>
      </c>
      <c r="J9" s="68">
        <v>5000</v>
      </c>
      <c r="K9" s="33">
        <v>0</v>
      </c>
      <c r="L9" s="68">
        <v>0</v>
      </c>
      <c r="M9" s="33">
        <v>0</v>
      </c>
      <c r="N9" s="68">
        <v>0</v>
      </c>
      <c r="O9" s="37">
        <v>0</v>
      </c>
      <c r="P9" s="34">
        <f>+O9+K9+I9+G9+E9+C9+M9</f>
        <v>116109.79</v>
      </c>
      <c r="Q9" s="34">
        <f>+B9+D9+F9+H9+J9+N9-P9</f>
        <v>249371.21000000002</v>
      </c>
    </row>
    <row r="10" spans="1:17" ht="17.25">
      <c r="A10" s="31" t="s">
        <v>127</v>
      </c>
      <c r="B10" s="68">
        <v>0</v>
      </c>
      <c r="C10" s="33">
        <v>0</v>
      </c>
      <c r="D10" s="68">
        <v>8400</v>
      </c>
      <c r="E10" s="33">
        <v>0</v>
      </c>
      <c r="F10" s="68">
        <f>375500-65000</f>
        <v>310500</v>
      </c>
      <c r="G10" s="33">
        <v>0</v>
      </c>
      <c r="H10" s="68">
        <v>0</v>
      </c>
      <c r="I10" s="33">
        <v>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7">
        <v>0</v>
      </c>
      <c r="P10" s="34">
        <f>+O10+K10+I10+G10+E10+C10+M10</f>
        <v>0</v>
      </c>
      <c r="Q10" s="34">
        <f>+B10+D10+F10+H10+J10+N10-P10</f>
        <v>318900</v>
      </c>
    </row>
    <row r="11" spans="1:17" ht="17.25">
      <c r="A11" s="31" t="s">
        <v>83</v>
      </c>
      <c r="B11" s="68">
        <v>206062</v>
      </c>
      <c r="C11" s="33">
        <f>718.56+76746.34</f>
        <v>77464.9</v>
      </c>
      <c r="D11" s="68">
        <v>6900</v>
      </c>
      <c r="E11" s="33">
        <v>216.4</v>
      </c>
      <c r="F11" s="68">
        <v>7000</v>
      </c>
      <c r="G11" s="33">
        <f>11479.26+7916.52</f>
        <v>19395.78</v>
      </c>
      <c r="H11" s="68">
        <v>0</v>
      </c>
      <c r="I11" s="33">
        <v>0</v>
      </c>
      <c r="J11" s="68">
        <v>6800</v>
      </c>
      <c r="K11" s="33">
        <v>0</v>
      </c>
      <c r="L11" s="68">
        <v>0</v>
      </c>
      <c r="M11" s="33">
        <v>0</v>
      </c>
      <c r="N11" s="68">
        <v>0</v>
      </c>
      <c r="O11" s="37">
        <v>12397.91</v>
      </c>
      <c r="P11" s="34">
        <f>+O11+K11+I11+G11+E11+C11</f>
        <v>109474.98999999999</v>
      </c>
      <c r="Q11" s="34">
        <f>+B11+D11+F11+H11+J11+N11-P11</f>
        <v>117287.01000000001</v>
      </c>
    </row>
    <row r="12" spans="1:17" ht="17.25">
      <c r="A12" s="31" t="s">
        <v>84</v>
      </c>
      <c r="B12" s="68">
        <v>349712</v>
      </c>
      <c r="C12" s="33">
        <f>582.79+115244.81</f>
        <v>115827.59999999999</v>
      </c>
      <c r="D12" s="68">
        <v>0</v>
      </c>
      <c r="E12" s="33">
        <f>537+505.4</f>
        <v>1042.4</v>
      </c>
      <c r="F12" s="68">
        <f>595000-300000</f>
        <v>295000</v>
      </c>
      <c r="G12" s="33">
        <f>3255.71+8550.56</f>
        <v>11806.27</v>
      </c>
      <c r="H12" s="68">
        <v>0</v>
      </c>
      <c r="I12" s="33">
        <v>0</v>
      </c>
      <c r="J12" s="68">
        <v>50000</v>
      </c>
      <c r="K12" s="33">
        <v>1490</v>
      </c>
      <c r="L12" s="68">
        <v>0</v>
      </c>
      <c r="M12" s="33">
        <v>0</v>
      </c>
      <c r="N12" s="68">
        <v>0</v>
      </c>
      <c r="O12" s="37">
        <v>17676.58</v>
      </c>
      <c r="P12" s="34">
        <f aca="true" t="shared" si="0" ref="P12:P17">+O12+K12+I12+G12+E12+C12+M12</f>
        <v>147842.85</v>
      </c>
      <c r="Q12" s="34">
        <f aca="true" t="shared" si="1" ref="Q12:Q17">+B12+D12+F12+H12+J12+N12-P12</f>
        <v>546869.15</v>
      </c>
    </row>
    <row r="13" spans="1:17" ht="17.25">
      <c r="A13" s="31" t="s">
        <v>74</v>
      </c>
      <c r="B13" s="68">
        <v>861288</v>
      </c>
      <c r="C13" s="33">
        <f>2016.74+166254.62+4570.17+88254.62+11.8+32149.79+3+6898.38</f>
        <v>300159.12</v>
      </c>
      <c r="D13" s="68">
        <v>0</v>
      </c>
      <c r="E13" s="33">
        <f>271.2+467.65</f>
        <v>738.8499999999999</v>
      </c>
      <c r="F13" s="68">
        <v>0</v>
      </c>
      <c r="G13" s="33">
        <f>3245+8066.78+2400+4000+162+66.15+184.69</f>
        <v>18124.62</v>
      </c>
      <c r="H13" s="68">
        <v>0</v>
      </c>
      <c r="I13" s="33">
        <v>0</v>
      </c>
      <c r="J13" s="68">
        <v>0</v>
      </c>
      <c r="K13" s="33">
        <v>1533.4</v>
      </c>
      <c r="L13" s="68">
        <v>0</v>
      </c>
      <c r="M13" s="33">
        <v>0</v>
      </c>
      <c r="N13" s="68">
        <v>0</v>
      </c>
      <c r="O13" s="37">
        <v>50410.42</v>
      </c>
      <c r="P13" s="34">
        <f t="shared" si="0"/>
        <v>370966.41000000003</v>
      </c>
      <c r="Q13" s="34">
        <f t="shared" si="1"/>
        <v>490321.58999999997</v>
      </c>
    </row>
    <row r="14" spans="1:17" ht="17.25">
      <c r="A14" s="31" t="s">
        <v>105</v>
      </c>
      <c r="B14" s="68">
        <v>1114345</v>
      </c>
      <c r="C14" s="33">
        <f>1738.71+308932.79</f>
        <v>310671.5</v>
      </c>
      <c r="D14" s="68">
        <v>35000</v>
      </c>
      <c r="E14" s="33">
        <f>592.2+7856</f>
        <v>8448.2</v>
      </c>
      <c r="F14" s="68">
        <v>203000</v>
      </c>
      <c r="G14" s="33">
        <f>6790.52+27412.86</f>
        <v>34203.380000000005</v>
      </c>
      <c r="H14" s="68">
        <v>0</v>
      </c>
      <c r="I14" s="33">
        <v>0</v>
      </c>
      <c r="J14" s="68">
        <v>12000</v>
      </c>
      <c r="K14" s="33">
        <v>0</v>
      </c>
      <c r="L14" s="68">
        <v>0</v>
      </c>
      <c r="M14" s="33">
        <v>0</v>
      </c>
      <c r="N14" s="68">
        <v>0</v>
      </c>
      <c r="O14" s="37">
        <v>60196.59</v>
      </c>
      <c r="P14" s="34">
        <f t="shared" si="0"/>
        <v>413519.67</v>
      </c>
      <c r="Q14" s="34">
        <f t="shared" si="1"/>
        <v>950825.3300000001</v>
      </c>
    </row>
    <row r="15" spans="1:17" ht="17.25">
      <c r="A15" s="31" t="s">
        <v>128</v>
      </c>
      <c r="B15" s="68">
        <v>460156</v>
      </c>
      <c r="C15" s="33">
        <f>913.4+145967.76</f>
        <v>146881.16</v>
      </c>
      <c r="D15" s="68">
        <v>5300</v>
      </c>
      <c r="E15" s="33">
        <f>1109.6+2340</f>
        <v>3449.6</v>
      </c>
      <c r="F15" s="68">
        <f>104200-17000</f>
        <v>87200</v>
      </c>
      <c r="G15" s="33">
        <f>35049.47+85481.04</f>
        <v>120530.51</v>
      </c>
      <c r="H15" s="68">
        <v>0</v>
      </c>
      <c r="I15" s="33">
        <v>800</v>
      </c>
      <c r="J15" s="68">
        <v>8000</v>
      </c>
      <c r="K15" s="33">
        <v>0</v>
      </c>
      <c r="L15" s="68">
        <v>0</v>
      </c>
      <c r="M15" s="33">
        <f>50308.53+139301.15</f>
        <v>189609.68</v>
      </c>
      <c r="N15" s="68">
        <v>0</v>
      </c>
      <c r="O15" s="37">
        <f>4194.17+80778.16</f>
        <v>84972.33</v>
      </c>
      <c r="P15" s="34">
        <f t="shared" si="0"/>
        <v>546243.28</v>
      </c>
      <c r="Q15" s="34">
        <f t="shared" si="1"/>
        <v>14412.719999999972</v>
      </c>
    </row>
    <row r="16" spans="1:17" ht="17.25">
      <c r="A16" s="31" t="s">
        <v>78</v>
      </c>
      <c r="B16" s="68">
        <v>1119745</v>
      </c>
      <c r="C16" s="33">
        <f>7183.23+367941.46</f>
        <v>375124.69</v>
      </c>
      <c r="D16" s="68">
        <v>50200</v>
      </c>
      <c r="E16" s="33">
        <f>1203.02+4686.62</f>
        <v>5889.639999999999</v>
      </c>
      <c r="F16" s="68">
        <v>548600</v>
      </c>
      <c r="G16" s="33">
        <f>1880.61+13929.52</f>
        <v>15810.130000000001</v>
      </c>
      <c r="H16" s="68">
        <v>80000</v>
      </c>
      <c r="I16" s="33">
        <f>10650.86+55691.08</f>
        <v>66341.94</v>
      </c>
      <c r="J16" s="68">
        <v>30900</v>
      </c>
      <c r="K16" s="33">
        <v>467.37</v>
      </c>
      <c r="L16" s="68">
        <v>0</v>
      </c>
      <c r="M16" s="33">
        <v>8225.08</v>
      </c>
      <c r="N16" s="68">
        <v>0</v>
      </c>
      <c r="O16" s="37">
        <v>67333.19</v>
      </c>
      <c r="P16" s="34">
        <f t="shared" si="0"/>
        <v>539192.0399999999</v>
      </c>
      <c r="Q16" s="34">
        <f>+B16+D16+F16+H16+J16+N16-P16+L16</f>
        <v>1290252.96</v>
      </c>
    </row>
    <row r="17" spans="1:17" ht="17.25">
      <c r="A17" s="31" t="s">
        <v>77</v>
      </c>
      <c r="B17" s="68">
        <v>506039</v>
      </c>
      <c r="C17" s="33">
        <f>187.34+158330.6</f>
        <v>158517.94</v>
      </c>
      <c r="D17" s="68">
        <v>0</v>
      </c>
      <c r="E17" s="33">
        <f>3066.31+975</f>
        <v>4041.31</v>
      </c>
      <c r="F17" s="68">
        <f>1290980-135000</f>
        <v>1155980</v>
      </c>
      <c r="G17" s="33">
        <f>264544.55+467319.13</f>
        <v>731863.6799999999</v>
      </c>
      <c r="H17" s="68">
        <v>75000</v>
      </c>
      <c r="I17" s="33">
        <f>14529.8+18054.7</f>
        <v>32584.5</v>
      </c>
      <c r="J17" s="68">
        <v>0</v>
      </c>
      <c r="K17" s="33">
        <v>500.92</v>
      </c>
      <c r="L17" s="68">
        <v>0</v>
      </c>
      <c r="M17" s="33">
        <v>0</v>
      </c>
      <c r="N17" s="68">
        <v>0</v>
      </c>
      <c r="O17" s="37">
        <f>6500+49781.6</f>
        <v>56281.6</v>
      </c>
      <c r="P17" s="34">
        <f t="shared" si="0"/>
        <v>983789.95</v>
      </c>
      <c r="Q17" s="34">
        <f t="shared" si="1"/>
        <v>753229.05</v>
      </c>
    </row>
    <row r="18" spans="1:17" ht="18" thickBot="1">
      <c r="A18" s="38" t="s">
        <v>11</v>
      </c>
      <c r="B18" s="39">
        <f aca="true" t="shared" si="2" ref="B18:Q18">SUM(B7:B17)</f>
        <v>5957589</v>
      </c>
      <c r="C18" s="40">
        <f t="shared" si="2"/>
        <v>1916973.9399999997</v>
      </c>
      <c r="D18" s="39">
        <f t="shared" si="2"/>
        <v>160040</v>
      </c>
      <c r="E18" s="40">
        <f t="shared" si="2"/>
        <v>36284.35</v>
      </c>
      <c r="F18" s="39">
        <f t="shared" si="2"/>
        <v>3157280</v>
      </c>
      <c r="G18" s="40">
        <f t="shared" si="2"/>
        <v>1324533.3900000001</v>
      </c>
      <c r="H18" s="39">
        <f t="shared" si="2"/>
        <v>520000</v>
      </c>
      <c r="I18" s="40">
        <f t="shared" si="2"/>
        <v>390182.84</v>
      </c>
      <c r="J18" s="39">
        <f t="shared" si="2"/>
        <v>124700</v>
      </c>
      <c r="K18" s="40">
        <f t="shared" si="2"/>
        <v>4206.93</v>
      </c>
      <c r="L18" s="39">
        <f t="shared" si="2"/>
        <v>0</v>
      </c>
      <c r="M18" s="40">
        <f t="shared" si="2"/>
        <v>225974.36</v>
      </c>
      <c r="N18" s="39">
        <f t="shared" si="2"/>
        <v>1400000</v>
      </c>
      <c r="O18" s="40">
        <f t="shared" si="2"/>
        <v>754252.7599999999</v>
      </c>
      <c r="P18" s="42">
        <f t="shared" si="2"/>
        <v>4652408.57</v>
      </c>
      <c r="Q18" s="42">
        <f t="shared" si="2"/>
        <v>6667200.429999999</v>
      </c>
    </row>
    <row r="19" spans="1:17" ht="17.25" thickBot="1">
      <c r="A19" s="43" t="s">
        <v>30</v>
      </c>
      <c r="B19" s="44"/>
      <c r="C19" s="139">
        <f>+C18/B18</f>
        <v>0.3217700885374939</v>
      </c>
      <c r="D19" s="46"/>
      <c r="E19" s="139">
        <f>+E18/D18</f>
        <v>0.22672050737315672</v>
      </c>
      <c r="F19" s="139"/>
      <c r="G19" s="139">
        <f>+G18/F18</f>
        <v>0.4195172395226271</v>
      </c>
      <c r="H19" s="139"/>
      <c r="I19" s="139">
        <f>+I18/H18</f>
        <v>0.7503516153846155</v>
      </c>
      <c r="J19" s="139"/>
      <c r="K19" s="139">
        <f>+K18/J18</f>
        <v>0.0337364073777065</v>
      </c>
      <c r="L19" s="147"/>
      <c r="M19" s="147"/>
      <c r="N19" s="139"/>
      <c r="O19" s="141">
        <f>+O18/N18</f>
        <v>0.5387519714285713</v>
      </c>
      <c r="P19" s="58"/>
      <c r="Q19" s="58"/>
    </row>
    <row r="20" spans="1:17" ht="8.25" customHeight="1">
      <c r="A20" s="49"/>
      <c r="B20" s="49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ht="16.5">
      <c r="P21" s="52"/>
    </row>
    <row r="23" ht="17.25">
      <c r="P23" s="69"/>
    </row>
    <row r="24" ht="16.5">
      <c r="P24" s="70"/>
    </row>
    <row r="25" ht="16.5">
      <c r="P25" s="58"/>
    </row>
    <row r="26" ht="16.5">
      <c r="P26" s="58"/>
    </row>
    <row r="27" ht="16.5">
      <c r="P27" s="58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spans="3:6" ht="16.5">
      <c r="C47" s="52"/>
      <c r="D47" s="5"/>
      <c r="E47" s="53"/>
      <c r="F47" s="53"/>
    </row>
    <row r="48" spans="3:6" ht="16.5">
      <c r="C48" s="52"/>
      <c r="D48" s="5"/>
      <c r="E48" s="53"/>
      <c r="F48" s="53"/>
    </row>
    <row r="49" spans="3:6" ht="16.5">
      <c r="C49" s="52"/>
      <c r="D49" s="5"/>
      <c r="E49" s="53"/>
      <c r="F49" s="53"/>
    </row>
    <row r="50" ht="16.5">
      <c r="C50" s="48"/>
    </row>
    <row r="52" spans="1:4" ht="16.5">
      <c r="A52" s="62" t="s">
        <v>26</v>
      </c>
      <c r="B52" s="71" t="s">
        <v>27</v>
      </c>
      <c r="C52" s="62" t="s">
        <v>28</v>
      </c>
      <c r="D52" s="62"/>
    </row>
    <row r="53" spans="1:3" ht="17.25">
      <c r="A53" s="64">
        <f>+B18</f>
        <v>5957589</v>
      </c>
      <c r="B53" s="65">
        <f>+C18</f>
        <v>1916973.9399999997</v>
      </c>
      <c r="C53" s="62" t="s">
        <v>1</v>
      </c>
    </row>
    <row r="54" spans="1:3" ht="17.25">
      <c r="A54" s="64">
        <f>+D18</f>
        <v>160040</v>
      </c>
      <c r="B54" s="65">
        <f>+E18</f>
        <v>36284.35</v>
      </c>
      <c r="C54" s="62" t="s">
        <v>2</v>
      </c>
    </row>
    <row r="55" spans="1:3" ht="17.25">
      <c r="A55" s="64">
        <f>+F18</f>
        <v>3157280</v>
      </c>
      <c r="B55" s="65">
        <f>+G18</f>
        <v>1324533.3900000001</v>
      </c>
      <c r="C55" s="62" t="s">
        <v>3</v>
      </c>
    </row>
    <row r="56" spans="1:3" ht="17.25">
      <c r="A56" s="64">
        <f>+H18</f>
        <v>520000</v>
      </c>
      <c r="B56" s="65">
        <f>+I18</f>
        <v>390182.84</v>
      </c>
      <c r="C56" s="62" t="s">
        <v>34</v>
      </c>
    </row>
    <row r="57" spans="1:3" ht="17.25">
      <c r="A57" s="64">
        <f>+J18</f>
        <v>124700</v>
      </c>
      <c r="B57" s="65">
        <f>+K18</f>
        <v>4206.93</v>
      </c>
      <c r="C57" s="62" t="s">
        <v>32</v>
      </c>
    </row>
    <row r="58" spans="1:3" ht="17.25">
      <c r="A58" s="64">
        <v>0</v>
      </c>
      <c r="B58" s="65">
        <f>+M18</f>
        <v>225974.36</v>
      </c>
      <c r="C58" s="62" t="s">
        <v>102</v>
      </c>
    </row>
    <row r="59" spans="1:3" ht="17.25">
      <c r="A59" s="64">
        <f>+N18</f>
        <v>1400000</v>
      </c>
      <c r="B59" s="65">
        <f>+O18</f>
        <v>754252.7599999999</v>
      </c>
      <c r="C59" s="62" t="s">
        <v>35</v>
      </c>
    </row>
    <row r="60" spans="1:3" ht="17.25">
      <c r="A60" s="64"/>
      <c r="B60" s="64"/>
      <c r="C60" s="62"/>
    </row>
    <row r="61" spans="1:3" ht="17.25">
      <c r="A61" s="64">
        <v>866913</v>
      </c>
      <c r="B61" s="65">
        <v>406071.92</v>
      </c>
      <c r="C61" s="62"/>
    </row>
    <row r="62" spans="1:3" ht="17.25">
      <c r="A62" s="64"/>
      <c r="B62" s="64"/>
      <c r="C62" s="62"/>
    </row>
    <row r="63" spans="1:2" ht="17.25">
      <c r="A63" s="64"/>
      <c r="B63" s="64"/>
    </row>
    <row r="64" spans="1:2" ht="17.25">
      <c r="A64" s="64"/>
      <c r="B64" s="64"/>
    </row>
    <row r="65" spans="1:2" ht="17.25">
      <c r="A65" s="64"/>
      <c r="B65" s="64"/>
    </row>
    <row r="66" spans="1:2" ht="17.25">
      <c r="A66" s="64"/>
      <c r="B66" s="64"/>
    </row>
    <row r="67" spans="1:2" ht="17.25">
      <c r="A67" s="64"/>
      <c r="B67" s="64"/>
    </row>
    <row r="68" spans="1:2" ht="17.25">
      <c r="A68" s="64"/>
      <c r="B68" s="64"/>
    </row>
    <row r="69" spans="1:2" ht="17.25">
      <c r="A69" s="64"/>
      <c r="B69" s="64"/>
    </row>
    <row r="70" spans="1:2" ht="17.25">
      <c r="A70" s="64"/>
      <c r="B70" s="64"/>
    </row>
    <row r="71" spans="1:2" ht="17.25">
      <c r="A71" s="64"/>
      <c r="B71" s="64"/>
    </row>
    <row r="72" spans="1:2" ht="17.25">
      <c r="A72" s="64"/>
      <c r="B72" s="64"/>
    </row>
    <row r="73" spans="1:2" ht="17.25">
      <c r="A73" s="64"/>
      <c r="B73" s="64"/>
    </row>
    <row r="74" spans="1:2" ht="17.25">
      <c r="A74" s="64"/>
      <c r="B74" s="64"/>
    </row>
    <row r="75" spans="1:2" ht="17.25">
      <c r="A75" s="64"/>
      <c r="B75" s="64"/>
    </row>
    <row r="76" spans="1:2" ht="17.25">
      <c r="A76" s="64"/>
      <c r="B76" s="64"/>
    </row>
    <row r="77" spans="1:2" ht="17.25">
      <c r="A77" s="64"/>
      <c r="B77" s="64"/>
    </row>
  </sheetData>
  <sheetProtection/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2" right="0.46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I1">
      <selection activeCell="R4" sqref="R4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7109375" style="1" customWidth="1"/>
    <col min="4" max="4" width="9.42187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9.28125" style="1" customWidth="1"/>
    <col min="14" max="14" width="9.421875" style="1" customWidth="1"/>
    <col min="15" max="15" width="11.8515625" style="1" customWidth="1"/>
    <col min="16" max="16" width="12.28125" style="1" customWidth="1"/>
    <col min="17" max="17" width="12.57421875" style="1" customWidth="1"/>
    <col min="18" max="18" width="11.28125" style="1" customWidth="1"/>
    <col min="19" max="16384" width="11.421875" style="1" customWidth="1"/>
  </cols>
  <sheetData>
    <row r="1" spans="14:15" ht="16.5">
      <c r="N1" s="72"/>
      <c r="O1" s="72"/>
    </row>
    <row r="2" spans="1:15" ht="18">
      <c r="A2" s="146" t="s">
        <v>0</v>
      </c>
      <c r="B2" s="165" t="s">
        <v>124</v>
      </c>
      <c r="C2" s="177"/>
      <c r="D2" s="177"/>
      <c r="E2" s="177"/>
      <c r="F2" s="177"/>
      <c r="G2" s="178"/>
      <c r="L2" s="174" t="s">
        <v>23</v>
      </c>
      <c r="M2" s="175"/>
      <c r="N2" s="150">
        <v>41000</v>
      </c>
      <c r="O2" s="73"/>
    </row>
    <row r="3" spans="2:5" ht="12.75" customHeight="1">
      <c r="B3" s="176"/>
      <c r="C3" s="176"/>
      <c r="D3" s="176"/>
      <c r="E3" s="176"/>
    </row>
    <row r="4" spans="15:16" ht="18" thickBot="1">
      <c r="O4" s="74"/>
      <c r="P4" s="65"/>
    </row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9" t="s">
        <v>92</v>
      </c>
      <c r="I5" s="180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630656</v>
      </c>
      <c r="C7" s="33">
        <f>1375.72+149787.42+888.87+26097.39+2483.35+89119+3+32488.44</f>
        <v>302243.19</v>
      </c>
      <c r="D7" s="68">
        <v>1200</v>
      </c>
      <c r="E7" s="33">
        <v>540</v>
      </c>
      <c r="F7" s="68">
        <v>33200</v>
      </c>
      <c r="G7" s="33">
        <f>10004.11+9469.35</f>
        <v>19473.46</v>
      </c>
      <c r="H7" s="68">
        <v>0</v>
      </c>
      <c r="I7" s="33">
        <v>0</v>
      </c>
      <c r="J7" s="68">
        <v>3000</v>
      </c>
      <c r="K7" s="33">
        <v>0</v>
      </c>
      <c r="L7" s="68">
        <v>0</v>
      </c>
      <c r="M7" s="33">
        <v>0</v>
      </c>
      <c r="N7" s="68">
        <v>1200000</v>
      </c>
      <c r="O7" s="33">
        <f>12409.37+262131.1</f>
        <v>274540.47000000003</v>
      </c>
      <c r="P7" s="34">
        <f>+C7+E7+G7+K7+O7+I7</f>
        <v>596797.1200000001</v>
      </c>
      <c r="Q7" s="34">
        <f aca="true" t="shared" si="0" ref="Q7:Q13">+B7+D7+F7+J7+N7+H7-P7</f>
        <v>1271258.88</v>
      </c>
      <c r="R7" s="158"/>
    </row>
    <row r="8" spans="1:17" ht="17.25">
      <c r="A8" s="31" t="s">
        <v>6</v>
      </c>
      <c r="B8" s="32">
        <v>569069</v>
      </c>
      <c r="C8" s="33">
        <f>33091.27+185921.54+548.86+39129.31</f>
        <v>258690.97999999998</v>
      </c>
      <c r="D8" s="68">
        <v>4000</v>
      </c>
      <c r="E8" s="33">
        <v>0</v>
      </c>
      <c r="F8" s="68">
        <v>1152500</v>
      </c>
      <c r="G8" s="33">
        <f>14936.4+316145.88</f>
        <v>331082.28</v>
      </c>
      <c r="H8" s="68">
        <v>0</v>
      </c>
      <c r="I8" s="33">
        <v>0</v>
      </c>
      <c r="J8" s="68">
        <v>26000</v>
      </c>
      <c r="K8" s="33">
        <v>0</v>
      </c>
      <c r="L8" s="68">
        <v>0</v>
      </c>
      <c r="M8" s="33">
        <v>0</v>
      </c>
      <c r="N8" s="68">
        <v>0</v>
      </c>
      <c r="O8" s="33">
        <v>29493.02</v>
      </c>
      <c r="P8" s="34">
        <f>+C8+E8+G8+K8+O8+I8</f>
        <v>619266.28</v>
      </c>
      <c r="Q8" s="34">
        <f t="shared" si="0"/>
        <v>1132302.72</v>
      </c>
    </row>
    <row r="9" spans="1:18" ht="17.25">
      <c r="A9" s="31" t="s">
        <v>101</v>
      </c>
      <c r="B9" s="32">
        <v>1430360</v>
      </c>
      <c r="C9" s="33">
        <f>4744.39+256993.95+1598.47+77016.99+1403.2+20835.37+3618.01+53796.39</f>
        <v>420006.77</v>
      </c>
      <c r="D9" s="68">
        <v>76200</v>
      </c>
      <c r="E9" s="33">
        <v>162.45</v>
      </c>
      <c r="F9" s="68">
        <v>79750</v>
      </c>
      <c r="G9" s="33">
        <f>6350+53198.51</f>
        <v>59548.51</v>
      </c>
      <c r="H9" s="68">
        <v>0</v>
      </c>
      <c r="I9" s="33">
        <v>0</v>
      </c>
      <c r="J9" s="68">
        <v>26100</v>
      </c>
      <c r="K9" s="33">
        <f>4500+158</f>
        <v>4658</v>
      </c>
      <c r="L9" s="68">
        <v>0</v>
      </c>
      <c r="M9" s="33">
        <v>0</v>
      </c>
      <c r="N9" s="68">
        <v>0</v>
      </c>
      <c r="O9" s="33">
        <v>73954.05</v>
      </c>
      <c r="P9" s="34">
        <f>+C9+E9+G9+K9+O9+I9</f>
        <v>558329.78</v>
      </c>
      <c r="Q9" s="34">
        <f t="shared" si="0"/>
        <v>1054080.22</v>
      </c>
      <c r="R9" s="5"/>
    </row>
    <row r="10" spans="1:17" ht="17.25">
      <c r="A10" s="31" t="s">
        <v>7</v>
      </c>
      <c r="B10" s="32">
        <v>413795</v>
      </c>
      <c r="C10" s="33">
        <f>1408.01+134352.41+3+15585.3</f>
        <v>151348.72</v>
      </c>
      <c r="D10" s="68">
        <v>183000</v>
      </c>
      <c r="E10" s="33">
        <f>1078.78+28006.13</f>
        <v>29084.91</v>
      </c>
      <c r="F10" s="68">
        <f>33000-20000</f>
        <v>13000</v>
      </c>
      <c r="G10" s="33">
        <f>265+3332.45</f>
        <v>3597.45</v>
      </c>
      <c r="H10" s="68">
        <v>0</v>
      </c>
      <c r="I10" s="33">
        <v>0</v>
      </c>
      <c r="J10" s="68">
        <v>522000</v>
      </c>
      <c r="K10" s="33">
        <v>22505.9</v>
      </c>
      <c r="L10" s="68">
        <v>0</v>
      </c>
      <c r="M10" s="33">
        <v>0</v>
      </c>
      <c r="N10" s="68">
        <v>0</v>
      </c>
      <c r="O10" s="33">
        <v>25272.01</v>
      </c>
      <c r="P10" s="34">
        <f>+C10+E10+G10+K10+O10+I10+M10</f>
        <v>231808.99000000002</v>
      </c>
      <c r="Q10" s="34">
        <f t="shared" si="0"/>
        <v>899986.01</v>
      </c>
    </row>
    <row r="11" spans="1:19" ht="17.25">
      <c r="A11" s="31" t="s">
        <v>9</v>
      </c>
      <c r="B11" s="32">
        <v>1055712</v>
      </c>
      <c r="C11" s="33">
        <f>10280.54+326658.78</f>
        <v>336939.32</v>
      </c>
      <c r="D11" s="68">
        <v>12600</v>
      </c>
      <c r="E11" s="33">
        <f>3320+2753.8</f>
        <v>6073.8</v>
      </c>
      <c r="F11" s="68">
        <v>269200</v>
      </c>
      <c r="G11" s="33">
        <f>8462.54+167283.02</f>
        <v>175745.56</v>
      </c>
      <c r="H11" s="68">
        <v>0</v>
      </c>
      <c r="I11" s="33">
        <v>0</v>
      </c>
      <c r="J11" s="68">
        <v>36360</v>
      </c>
      <c r="K11" s="33">
        <f>4000+3606</f>
        <v>7606</v>
      </c>
      <c r="L11" s="68">
        <v>0</v>
      </c>
      <c r="M11" s="33">
        <v>0</v>
      </c>
      <c r="N11" s="68">
        <v>0</v>
      </c>
      <c r="O11" s="33">
        <v>55493.61</v>
      </c>
      <c r="P11" s="34">
        <f>+C11+E11+G11+K11+O11+I11</f>
        <v>581858.2899999999</v>
      </c>
      <c r="Q11" s="34">
        <f t="shared" si="0"/>
        <v>792013.7100000001</v>
      </c>
      <c r="S11" s="5"/>
    </row>
    <row r="12" spans="1:17" ht="17.25">
      <c r="A12" s="31" t="s">
        <v>8</v>
      </c>
      <c r="B12" s="32">
        <v>1072358</v>
      </c>
      <c r="C12" s="33">
        <f>19873.24+359633.1+188.36+23795.8+701.04+31392.27</f>
        <v>435583.80999999994</v>
      </c>
      <c r="D12" s="68">
        <f>3061375-300000</f>
        <v>2761375</v>
      </c>
      <c r="E12" s="33">
        <f>219290.22+588893.82</f>
        <v>808184.0399999999</v>
      </c>
      <c r="F12" s="68">
        <v>29400</v>
      </c>
      <c r="G12" s="33">
        <f>6593.43+79350.82</f>
        <v>85944.25</v>
      </c>
      <c r="H12" s="68">
        <v>0</v>
      </c>
      <c r="I12" s="33">
        <v>0</v>
      </c>
      <c r="J12" s="68">
        <v>27600</v>
      </c>
      <c r="K12" s="33">
        <v>700</v>
      </c>
      <c r="L12" s="68">
        <v>0</v>
      </c>
      <c r="M12" s="33">
        <v>932.08</v>
      </c>
      <c r="N12" s="68">
        <v>0</v>
      </c>
      <c r="O12" s="33">
        <v>110009.6</v>
      </c>
      <c r="P12" s="34">
        <f>+C12+E12+G12+K12+O12+I12+M12</f>
        <v>1441353.78</v>
      </c>
      <c r="Q12" s="34">
        <f t="shared" si="0"/>
        <v>2449379.2199999997</v>
      </c>
    </row>
    <row r="13" spans="1:17" ht="17.25">
      <c r="A13" s="31" t="s">
        <v>10</v>
      </c>
      <c r="B13" s="32">
        <v>215405</v>
      </c>
      <c r="C13" s="33">
        <f>151.95+20628.84</f>
        <v>20780.79</v>
      </c>
      <c r="D13" s="68">
        <v>200</v>
      </c>
      <c r="E13" s="33">
        <v>77.99</v>
      </c>
      <c r="F13" s="68">
        <v>11000</v>
      </c>
      <c r="G13" s="33">
        <f>78.39+2265.46</f>
        <v>2343.85</v>
      </c>
      <c r="H13" s="68">
        <v>0</v>
      </c>
      <c r="I13" s="33">
        <v>0</v>
      </c>
      <c r="J13" s="68">
        <v>3900</v>
      </c>
      <c r="K13" s="33">
        <v>0</v>
      </c>
      <c r="L13" s="68">
        <v>0</v>
      </c>
      <c r="M13" s="33">
        <v>0</v>
      </c>
      <c r="N13" s="68">
        <v>0</v>
      </c>
      <c r="O13" s="33">
        <v>3572.55</v>
      </c>
      <c r="P13" s="34">
        <f>+C13+E13+G13+K13+O13+I13</f>
        <v>26775.18</v>
      </c>
      <c r="Q13" s="34">
        <f t="shared" si="0"/>
        <v>203729.82</v>
      </c>
    </row>
    <row r="14" spans="1:17" ht="18" thickBot="1">
      <c r="A14" s="38" t="s">
        <v>11</v>
      </c>
      <c r="B14" s="39">
        <f aca="true" t="shared" si="1" ref="B14:O14">SUM(B7:B13)</f>
        <v>5387355</v>
      </c>
      <c r="C14" s="40">
        <f t="shared" si="1"/>
        <v>1925593.58</v>
      </c>
      <c r="D14" s="39">
        <f t="shared" si="1"/>
        <v>3038575</v>
      </c>
      <c r="E14" s="40">
        <f t="shared" si="1"/>
        <v>844123.19</v>
      </c>
      <c r="F14" s="77">
        <f t="shared" si="1"/>
        <v>1588050</v>
      </c>
      <c r="G14" s="40">
        <f t="shared" si="1"/>
        <v>677735.36</v>
      </c>
      <c r="H14" s="77">
        <f t="shared" si="1"/>
        <v>0</v>
      </c>
      <c r="I14" s="40">
        <f t="shared" si="1"/>
        <v>0</v>
      </c>
      <c r="J14" s="39">
        <f t="shared" si="1"/>
        <v>644960</v>
      </c>
      <c r="K14" s="40">
        <f t="shared" si="1"/>
        <v>35469.9</v>
      </c>
      <c r="L14" s="39">
        <f>SUM(L7:L13)</f>
        <v>0</v>
      </c>
      <c r="M14" s="40">
        <f>SUM(M7:M13)</f>
        <v>932.08</v>
      </c>
      <c r="N14" s="39">
        <f t="shared" si="1"/>
        <v>1200000</v>
      </c>
      <c r="O14" s="40">
        <f t="shared" si="1"/>
        <v>572335.31</v>
      </c>
      <c r="P14" s="42">
        <f>SUM(P7:P13)</f>
        <v>4056189.4200000004</v>
      </c>
      <c r="Q14" s="42">
        <f>SUM(Q7:Q13)</f>
        <v>7802750.579999999</v>
      </c>
    </row>
    <row r="15" spans="1:17" ht="17.25" thickBot="1">
      <c r="A15" s="43" t="s">
        <v>30</v>
      </c>
      <c r="B15" s="44"/>
      <c r="C15" s="139">
        <f>+C14/B14</f>
        <v>0.3574283818311583</v>
      </c>
      <c r="D15" s="139"/>
      <c r="E15" s="139">
        <f>+E14/D14</f>
        <v>0.27780232181203357</v>
      </c>
      <c r="F15" s="139"/>
      <c r="G15" s="139">
        <f>+G14/F14</f>
        <v>0.4267720537766443</v>
      </c>
      <c r="H15" s="45"/>
      <c r="I15" s="45"/>
      <c r="J15" s="45"/>
      <c r="K15" s="139">
        <f>+K14/J14</f>
        <v>0.054995503597122304</v>
      </c>
      <c r="L15" s="47"/>
      <c r="M15" s="47"/>
      <c r="N15" s="47"/>
      <c r="O15" s="141">
        <f>+O14/N14</f>
        <v>0.47694609166666674</v>
      </c>
      <c r="P15" s="58"/>
      <c r="Q15" s="5"/>
    </row>
    <row r="16" spans="1:17" ht="16.5">
      <c r="A16" s="49"/>
      <c r="B16" s="49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140"/>
      <c r="Q16" s="5"/>
    </row>
    <row r="17" ht="16.5">
      <c r="P17" s="5"/>
    </row>
    <row r="39" spans="1:6" ht="16.5">
      <c r="A39" s="53"/>
      <c r="B39" s="53"/>
      <c r="C39" s="53"/>
      <c r="D39" s="53"/>
      <c r="E39" s="53"/>
      <c r="F39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8" spans="1:4" ht="16.5">
      <c r="A48" s="62" t="s">
        <v>26</v>
      </c>
      <c r="B48" s="62" t="s">
        <v>27</v>
      </c>
      <c r="C48" s="62" t="s">
        <v>28</v>
      </c>
      <c r="D48" s="5"/>
    </row>
    <row r="49" spans="1:3" ht="16.5">
      <c r="A49" s="1">
        <f>+B14</f>
        <v>5387355</v>
      </c>
      <c r="B49" s="52">
        <f>+C14</f>
        <v>1925593.58</v>
      </c>
      <c r="C49" s="62" t="s">
        <v>1</v>
      </c>
    </row>
    <row r="50" spans="1:3" ht="16.5">
      <c r="A50" s="1">
        <f>+D14</f>
        <v>3038575</v>
      </c>
      <c r="B50" s="52">
        <f>+E14</f>
        <v>844123.19</v>
      </c>
      <c r="C50" s="62" t="s">
        <v>2</v>
      </c>
    </row>
    <row r="51" spans="1:3" ht="16.5">
      <c r="A51" s="1">
        <f>+F14</f>
        <v>1588050</v>
      </c>
      <c r="B51" s="52">
        <f>+G14</f>
        <v>677735.36</v>
      </c>
      <c r="C51" s="62" t="s">
        <v>3</v>
      </c>
    </row>
    <row r="52" spans="1:3" ht="16.5" hidden="1">
      <c r="A52" s="78">
        <f>+H14</f>
        <v>0</v>
      </c>
      <c r="B52" s="52">
        <f>+I14</f>
        <v>0</v>
      </c>
      <c r="C52" s="62" t="s">
        <v>34</v>
      </c>
    </row>
    <row r="53" spans="1:3" ht="16.5">
      <c r="A53" s="1">
        <f>+J14</f>
        <v>644960</v>
      </c>
      <c r="B53" s="5">
        <f>+K14</f>
        <v>35469.9</v>
      </c>
      <c r="C53" s="62" t="s">
        <v>32</v>
      </c>
    </row>
    <row r="54" spans="1:3" ht="16.5" hidden="1">
      <c r="A54" s="1">
        <v>0</v>
      </c>
      <c r="B54" s="5">
        <f>+M14</f>
        <v>932.08</v>
      </c>
      <c r="C54" s="62" t="s">
        <v>102</v>
      </c>
    </row>
    <row r="55" spans="1:3" ht="17.25">
      <c r="A55" s="1">
        <f>+N14</f>
        <v>1200000</v>
      </c>
      <c r="B55" s="65">
        <f>+O14</f>
        <v>572335.31</v>
      </c>
      <c r="C55" s="62" t="s">
        <v>35</v>
      </c>
    </row>
    <row r="56" ht="16.5">
      <c r="C56" s="63"/>
    </row>
    <row r="57" spans="1:3" ht="17.25">
      <c r="A57" s="1">
        <v>2487582</v>
      </c>
      <c r="B57" s="65">
        <v>786542.11</v>
      </c>
      <c r="C57" s="63"/>
    </row>
    <row r="58" ht="16.5">
      <c r="C58" s="63"/>
    </row>
    <row r="59" ht="16.5">
      <c r="C59" s="63"/>
    </row>
    <row r="60" ht="16.5">
      <c r="C60" s="63"/>
    </row>
    <row r="61" ht="16.5">
      <c r="C61" s="63"/>
    </row>
    <row r="62" ht="16.5">
      <c r="C62" s="63"/>
    </row>
    <row r="63" ht="16.5">
      <c r="C63" s="63"/>
    </row>
  </sheetData>
  <sheetProtection/>
  <mergeCells count="10">
    <mergeCell ref="N5:O5"/>
    <mergeCell ref="B5:C5"/>
    <mergeCell ref="D5:E5"/>
    <mergeCell ref="F5:G5"/>
    <mergeCell ref="L5:M5"/>
    <mergeCell ref="L2:M2"/>
    <mergeCell ref="B3:E3"/>
    <mergeCell ref="J5:K5"/>
    <mergeCell ref="B2:G2"/>
    <mergeCell ref="H5:I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C1">
      <selection activeCell="Q15" sqref="Q15"/>
    </sheetView>
  </sheetViews>
  <sheetFormatPr defaultColWidth="11.421875" defaultRowHeight="15"/>
  <cols>
    <col min="1" max="1" width="18.421875" style="1" customWidth="1"/>
    <col min="2" max="2" width="10.57421875" style="1" customWidth="1"/>
    <col min="3" max="3" width="12.421875" style="1" customWidth="1"/>
    <col min="4" max="4" width="7.7109375" style="1" customWidth="1"/>
    <col min="5" max="5" width="9.421875" style="1" customWidth="1"/>
    <col min="6" max="6" width="9.140625" style="1" customWidth="1"/>
    <col min="7" max="7" width="12.140625" style="1" customWidth="1"/>
    <col min="8" max="8" width="9.140625" style="1" customWidth="1"/>
    <col min="9" max="9" width="12.42187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8.8515625" style="1" customWidth="1"/>
    <col min="14" max="14" width="9.421875" style="1" customWidth="1"/>
    <col min="15" max="15" width="12.28125" style="1" customWidth="1"/>
    <col min="16" max="16" width="12.710937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106</v>
      </c>
      <c r="C2" s="165"/>
      <c r="D2" s="181"/>
      <c r="E2" s="181"/>
      <c r="F2" s="178"/>
      <c r="I2" s="174" t="s">
        <v>23</v>
      </c>
      <c r="J2" s="174"/>
      <c r="K2" s="150">
        <v>41000</v>
      </c>
      <c r="L2" s="122"/>
      <c r="M2" s="122"/>
      <c r="N2" s="123"/>
      <c r="O2" s="56"/>
    </row>
    <row r="3" spans="2:4" ht="16.5">
      <c r="B3" s="182"/>
      <c r="C3" s="182"/>
      <c r="D3" s="67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8" ht="17.25">
      <c r="A7" s="31" t="s">
        <v>14</v>
      </c>
      <c r="B7" s="32">
        <v>1307158</v>
      </c>
      <c r="C7" s="33">
        <f>20266.41+401910.8+1707.42+25213.5</f>
        <v>449098.12999999995</v>
      </c>
      <c r="D7" s="32">
        <v>225853</v>
      </c>
      <c r="E7" s="33">
        <f>6117.97+15597.06</f>
        <v>21715.03</v>
      </c>
      <c r="F7" s="32">
        <v>2352958</v>
      </c>
      <c r="G7" s="33">
        <f>87099.86+506350.65</f>
        <v>593450.51</v>
      </c>
      <c r="H7" s="32">
        <v>5435737</v>
      </c>
      <c r="I7" s="33">
        <f>453514.56+624200.72</f>
        <v>1077715.28</v>
      </c>
      <c r="J7" s="32">
        <v>90617</v>
      </c>
      <c r="K7" s="33">
        <f>17725.25+13544.56</f>
        <v>31269.809999999998</v>
      </c>
      <c r="L7" s="32">
        <v>0</v>
      </c>
      <c r="M7" s="37">
        <f>1705+2780</f>
        <v>4485</v>
      </c>
      <c r="N7" s="32">
        <f>500000+800000</f>
        <v>1300000</v>
      </c>
      <c r="O7" s="33">
        <f>24412.6+990608.61</f>
        <v>1015021.21</v>
      </c>
      <c r="P7" s="34">
        <f aca="true" t="shared" si="0" ref="P7:P12">+C7+E7+G7+I7+K7+O7+M7</f>
        <v>3192754.97</v>
      </c>
      <c r="Q7" s="34">
        <f aca="true" t="shared" si="1" ref="Q7:Q12">+B7+D7+F7+H7+J7+N7-P7</f>
        <v>7519568.029999999</v>
      </c>
      <c r="R7" s="5"/>
    </row>
    <row r="8" spans="1:18" ht="17.25">
      <c r="A8" s="31" t="s">
        <v>75</v>
      </c>
      <c r="B8" s="32">
        <v>465405</v>
      </c>
      <c r="C8" s="33">
        <f>1569.13+103899.23+3+8001.29</f>
        <v>113472.65</v>
      </c>
      <c r="D8" s="32">
        <v>0</v>
      </c>
      <c r="E8" s="33">
        <v>3345.06</v>
      </c>
      <c r="F8" s="32">
        <v>0</v>
      </c>
      <c r="G8" s="33">
        <f>106226.04+210537.12</f>
        <v>316763.16</v>
      </c>
      <c r="H8" s="32">
        <v>0</v>
      </c>
      <c r="I8" s="33">
        <f>136108.4+269841.03</f>
        <v>405949.43000000005</v>
      </c>
      <c r="J8" s="32">
        <v>0</v>
      </c>
      <c r="K8" s="33">
        <v>0</v>
      </c>
      <c r="L8" s="32">
        <v>0</v>
      </c>
      <c r="M8" s="37">
        <v>0</v>
      </c>
      <c r="N8" s="32">
        <v>0</v>
      </c>
      <c r="O8" s="33">
        <f>12250+90017.1</f>
        <v>102267.1</v>
      </c>
      <c r="P8" s="34">
        <f t="shared" si="0"/>
        <v>941797.4</v>
      </c>
      <c r="Q8" s="34">
        <f t="shared" si="1"/>
        <v>-476392.4</v>
      </c>
      <c r="R8" s="5"/>
    </row>
    <row r="9" spans="1:18" ht="17.25">
      <c r="A9" s="31" t="s">
        <v>82</v>
      </c>
      <c r="B9" s="32">
        <v>3302855</v>
      </c>
      <c r="C9" s="33">
        <f>25734.33+941938.6</f>
        <v>967672.9299999999</v>
      </c>
      <c r="D9" s="32">
        <v>0</v>
      </c>
      <c r="E9" s="33">
        <f>490.75+4070.84</f>
        <v>4561.59</v>
      </c>
      <c r="F9" s="32">
        <v>0</v>
      </c>
      <c r="G9" s="33">
        <f>250.8+750.2+34417.66+91202.64</f>
        <v>126621.3</v>
      </c>
      <c r="H9" s="32">
        <v>0</v>
      </c>
      <c r="I9" s="33">
        <f>294032.65+325293.61</f>
        <v>619326.26</v>
      </c>
      <c r="J9" s="32">
        <v>0</v>
      </c>
      <c r="K9" s="33">
        <v>2571.1</v>
      </c>
      <c r="L9" s="32">
        <v>0</v>
      </c>
      <c r="M9" s="37">
        <v>0</v>
      </c>
      <c r="N9" s="32">
        <v>0</v>
      </c>
      <c r="O9" s="33">
        <v>96652.65</v>
      </c>
      <c r="P9" s="34">
        <f t="shared" si="0"/>
        <v>1817405.8299999998</v>
      </c>
      <c r="Q9" s="34">
        <f t="shared" si="1"/>
        <v>1485449.1700000002</v>
      </c>
      <c r="R9" s="5"/>
    </row>
    <row r="10" spans="1:18" ht="17.25">
      <c r="A10" s="31" t="s">
        <v>120</v>
      </c>
      <c r="B10" s="32">
        <v>4613182</v>
      </c>
      <c r="C10" s="33">
        <f>50710.43+1364552.08</f>
        <v>1415262.51</v>
      </c>
      <c r="D10" s="32">
        <v>0</v>
      </c>
      <c r="E10" s="33">
        <v>0</v>
      </c>
      <c r="F10" s="32">
        <v>0</v>
      </c>
      <c r="G10" s="33">
        <f>59463.92+57392.2</f>
        <v>116856.12</v>
      </c>
      <c r="H10" s="32">
        <v>0</v>
      </c>
      <c r="I10" s="33">
        <v>6671.04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112150.52</v>
      </c>
      <c r="P10" s="34">
        <f t="shared" si="0"/>
        <v>1650940.19</v>
      </c>
      <c r="Q10" s="34">
        <f t="shared" si="1"/>
        <v>2962241.81</v>
      </c>
      <c r="R10" s="5"/>
    </row>
    <row r="11" spans="1:18" ht="17.25">
      <c r="A11" s="31" t="s">
        <v>129</v>
      </c>
      <c r="B11" s="32">
        <v>1119623</v>
      </c>
      <c r="C11" s="33">
        <f>15065.93+11869.73-2808.05+315388.9</f>
        <v>339516.51</v>
      </c>
      <c r="D11" s="32">
        <v>0</v>
      </c>
      <c r="E11" s="33">
        <v>2248.8</v>
      </c>
      <c r="F11" s="32">
        <v>0</v>
      </c>
      <c r="G11" s="33">
        <f>37529.21+82210.39</f>
        <v>119739.6</v>
      </c>
      <c r="H11" s="32">
        <v>0</v>
      </c>
      <c r="I11" s="33">
        <f>87762.11+263761.32</f>
        <v>351523.43</v>
      </c>
      <c r="J11" s="32">
        <v>0</v>
      </c>
      <c r="K11" s="33">
        <v>1287.5</v>
      </c>
      <c r="L11" s="32">
        <v>0</v>
      </c>
      <c r="M11" s="37">
        <v>842</v>
      </c>
      <c r="N11" s="32">
        <v>0</v>
      </c>
      <c r="O11" s="33">
        <v>122511.52</v>
      </c>
      <c r="P11" s="34">
        <f t="shared" si="0"/>
        <v>937669.3600000001</v>
      </c>
      <c r="Q11" s="34">
        <f t="shared" si="1"/>
        <v>181953.6399999999</v>
      </c>
      <c r="R11" s="5"/>
    </row>
    <row r="12" spans="1:18" ht="17.25" hidden="1">
      <c r="A12" s="31" t="s">
        <v>76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 t="shared" si="0"/>
        <v>0</v>
      </c>
      <c r="Q12" s="34">
        <f t="shared" si="1"/>
        <v>0</v>
      </c>
      <c r="R12" s="5"/>
    </row>
    <row r="13" spans="1:18" ht="18" thickBot="1">
      <c r="A13" s="38" t="s">
        <v>11</v>
      </c>
      <c r="B13" s="39">
        <f aca="true" t="shared" si="2" ref="B13:Q13">SUM(B7:B12)</f>
        <v>10808223</v>
      </c>
      <c r="C13" s="40">
        <f t="shared" si="2"/>
        <v>3285022.7299999995</v>
      </c>
      <c r="D13" s="39">
        <f t="shared" si="2"/>
        <v>225853</v>
      </c>
      <c r="E13" s="40">
        <f t="shared" si="2"/>
        <v>31870.48</v>
      </c>
      <c r="F13" s="39">
        <f t="shared" si="2"/>
        <v>2352958</v>
      </c>
      <c r="G13" s="40">
        <f t="shared" si="2"/>
        <v>1273430.69</v>
      </c>
      <c r="H13" s="39">
        <f t="shared" si="2"/>
        <v>5435737</v>
      </c>
      <c r="I13" s="40">
        <f t="shared" si="2"/>
        <v>2461185.44</v>
      </c>
      <c r="J13" s="39">
        <f t="shared" si="2"/>
        <v>90617</v>
      </c>
      <c r="K13" s="40">
        <f>SUM(K7:K12)</f>
        <v>35128.409999999996</v>
      </c>
      <c r="L13" s="39">
        <f>SUM(L7:L12)</f>
        <v>0</v>
      </c>
      <c r="M13" s="40">
        <f>SUM(M7:M12)</f>
        <v>5327</v>
      </c>
      <c r="N13" s="39">
        <f t="shared" si="2"/>
        <v>1300000</v>
      </c>
      <c r="O13" s="40">
        <f>SUM(O7:O12)</f>
        <v>1448603</v>
      </c>
      <c r="P13" s="42">
        <f t="shared" si="2"/>
        <v>8540567.75</v>
      </c>
      <c r="Q13" s="42">
        <f t="shared" si="2"/>
        <v>11672820.25</v>
      </c>
      <c r="R13" s="5"/>
    </row>
    <row r="14" spans="1:17" ht="17.25" thickBot="1">
      <c r="A14" s="43" t="s">
        <v>30</v>
      </c>
      <c r="B14" s="44"/>
      <c r="C14" s="139">
        <f>+C13/B13</f>
        <v>0.3039373567699334</v>
      </c>
      <c r="D14" s="45"/>
      <c r="E14" s="139">
        <f>+E13/D13</f>
        <v>0.14111160799280947</v>
      </c>
      <c r="F14" s="45"/>
      <c r="G14" s="139">
        <f>+G13/F13</f>
        <v>0.5412041736401585</v>
      </c>
      <c r="H14" s="45"/>
      <c r="I14" s="139">
        <f>+I13/H13</f>
        <v>0.45277860941395803</v>
      </c>
      <c r="J14" s="45"/>
      <c r="K14" s="139">
        <f>+K13/J13</f>
        <v>0.387658055331781</v>
      </c>
      <c r="L14" s="47"/>
      <c r="M14" s="47"/>
      <c r="N14" s="45"/>
      <c r="O14" s="141">
        <f>+O13/N13</f>
        <v>1.11431</v>
      </c>
      <c r="P14" s="58"/>
      <c r="Q14" s="5"/>
    </row>
    <row r="15" spans="1:16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</row>
    <row r="32" spans="5:8" ht="16.5">
      <c r="E32" s="59"/>
      <c r="F32" s="59"/>
      <c r="G32" s="60"/>
      <c r="H32" s="60"/>
    </row>
    <row r="33" spans="5:8" ht="16.5">
      <c r="E33" s="61"/>
      <c r="F33" s="61"/>
      <c r="G33" s="61"/>
      <c r="H33" s="61"/>
    </row>
    <row r="38" spans="1:6" ht="16.5">
      <c r="A38" s="53"/>
      <c r="B38" s="53"/>
      <c r="C38" s="53"/>
      <c r="D38" s="53"/>
      <c r="E38" s="53"/>
      <c r="F38" s="53"/>
    </row>
    <row r="39" ht="16.5">
      <c r="C39" s="48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3:6" ht="16.5"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7" spans="1:5" ht="16.5">
      <c r="A47" s="62" t="s">
        <v>26</v>
      </c>
      <c r="B47" s="62" t="s">
        <v>27</v>
      </c>
      <c r="C47" s="62" t="s">
        <v>28</v>
      </c>
      <c r="D47" s="62"/>
      <c r="E47" s="63"/>
    </row>
    <row r="48" spans="1:3" ht="17.25">
      <c r="A48" s="64">
        <f>+B13</f>
        <v>10808223</v>
      </c>
      <c r="B48" s="65">
        <f>+C13</f>
        <v>3285022.7299999995</v>
      </c>
      <c r="C48" s="62" t="s">
        <v>1</v>
      </c>
    </row>
    <row r="49" spans="1:3" ht="17.25">
      <c r="A49" s="64">
        <f>+D13</f>
        <v>225853</v>
      </c>
      <c r="B49" s="65">
        <f>+E13</f>
        <v>31870.48</v>
      </c>
      <c r="C49" s="62" t="s">
        <v>2</v>
      </c>
    </row>
    <row r="50" spans="1:3" ht="17.25">
      <c r="A50" s="64">
        <f>+F13</f>
        <v>2352958</v>
      </c>
      <c r="B50" s="65">
        <f>+G13</f>
        <v>1273430.69</v>
      </c>
      <c r="C50" s="62" t="s">
        <v>3</v>
      </c>
    </row>
    <row r="51" spans="1:3" ht="17.25">
      <c r="A51" s="64">
        <f>+H13</f>
        <v>5435737</v>
      </c>
      <c r="B51" s="65">
        <f>+I13</f>
        <v>2461185.44</v>
      </c>
      <c r="C51" s="62" t="s">
        <v>34</v>
      </c>
    </row>
    <row r="52" spans="1:3" ht="17.25">
      <c r="A52" s="64">
        <f>+J13</f>
        <v>90617</v>
      </c>
      <c r="B52" s="65">
        <f>+K13</f>
        <v>35128.409999999996</v>
      </c>
      <c r="C52" s="62" t="s">
        <v>32</v>
      </c>
    </row>
    <row r="53" spans="1:3" ht="17.25">
      <c r="A53" s="66">
        <f>+L13</f>
        <v>0</v>
      </c>
      <c r="B53" s="65">
        <f>+M13</f>
        <v>5327</v>
      </c>
      <c r="C53" s="62" t="s">
        <v>95</v>
      </c>
    </row>
    <row r="54" spans="1:3" ht="17.25">
      <c r="A54" s="64">
        <f>+N13</f>
        <v>1300000</v>
      </c>
      <c r="B54" s="65">
        <f>+O13</f>
        <v>1448603</v>
      </c>
      <c r="C54" s="62" t="s">
        <v>35</v>
      </c>
    </row>
    <row r="55" spans="1:3" ht="17.25">
      <c r="A55" s="64"/>
      <c r="B55" s="64"/>
      <c r="C55" s="62"/>
    </row>
    <row r="56" spans="1:2" ht="16.5">
      <c r="A56" s="1">
        <v>2809993</v>
      </c>
      <c r="B56" s="5">
        <v>749308.3</v>
      </c>
    </row>
  </sheetData>
  <sheetProtection/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56" right="0.35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0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4.140625" style="1" customWidth="1"/>
    <col min="2" max="2" width="9.28125" style="1" customWidth="1"/>
    <col min="3" max="3" width="12.140625" style="1" customWidth="1"/>
    <col min="4" max="4" width="7.8515625" style="1" customWidth="1"/>
    <col min="5" max="5" width="9.57421875" style="1" customWidth="1"/>
    <col min="6" max="6" width="9.140625" style="1" customWidth="1"/>
    <col min="7" max="7" width="11.140625" style="1" customWidth="1"/>
    <col min="8" max="8" width="7.57421875" style="1" customWidth="1"/>
    <col min="9" max="9" width="9.00390625" style="1" customWidth="1"/>
    <col min="10" max="10" width="8.140625" style="1" customWidth="1"/>
    <col min="11" max="11" width="9.140625" style="1" customWidth="1"/>
    <col min="12" max="12" width="10.140625" style="1" customWidth="1"/>
    <col min="13" max="13" width="12.28125" style="1" customWidth="1"/>
    <col min="14" max="14" width="9.28125" style="1" customWidth="1"/>
    <col min="15" max="15" width="12.00390625" style="1" customWidth="1"/>
    <col min="16" max="16" width="13.2812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107</v>
      </c>
      <c r="C2" s="184"/>
      <c r="D2" s="184"/>
      <c r="E2" s="170"/>
      <c r="F2" s="170"/>
      <c r="L2" s="174" t="s">
        <v>23</v>
      </c>
      <c r="M2" s="175"/>
      <c r="N2" s="150">
        <v>41000</v>
      </c>
      <c r="O2" s="56"/>
    </row>
    <row r="3" spans="2:4" ht="16.5">
      <c r="B3" s="182"/>
      <c r="C3" s="183"/>
      <c r="D3" s="183"/>
    </row>
    <row r="4" ht="17.25" thickBot="1"/>
    <row r="5" spans="1:17" ht="17.25">
      <c r="A5" s="25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81</v>
      </c>
      <c r="K5" s="173"/>
      <c r="L5" s="172" t="s">
        <v>36</v>
      </c>
      <c r="M5" s="173"/>
      <c r="N5" s="172" t="s">
        <v>33</v>
      </c>
      <c r="O5" s="173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6" t="s">
        <v>25</v>
      </c>
      <c r="Q6" s="30" t="s">
        <v>39</v>
      </c>
    </row>
    <row r="7" spans="1:17" ht="7.5" customHeight="1">
      <c r="A7" s="97"/>
      <c r="B7" s="159"/>
      <c r="C7" s="160"/>
      <c r="D7" s="159"/>
      <c r="E7" s="160"/>
      <c r="F7" s="159"/>
      <c r="G7" s="160"/>
      <c r="H7" s="159"/>
      <c r="I7" s="159"/>
      <c r="J7" s="159"/>
      <c r="K7" s="160"/>
      <c r="L7" s="159"/>
      <c r="M7" s="160"/>
      <c r="N7" s="159"/>
      <c r="O7" s="160"/>
      <c r="P7" s="161"/>
      <c r="Q7" s="162"/>
    </row>
    <row r="8" spans="1:18" ht="17.25">
      <c r="A8" s="31" t="s">
        <v>14</v>
      </c>
      <c r="B8" s="32">
        <v>501108</v>
      </c>
      <c r="C8" s="33">
        <f>3+100768.59+588.43+23601.84+756.98+81884.29</f>
        <v>207603.12999999998</v>
      </c>
      <c r="D8" s="32">
        <v>58000</v>
      </c>
      <c r="E8" s="33">
        <f>2874.48+9612.01</f>
        <v>12486.49</v>
      </c>
      <c r="F8" s="32">
        <f>417000-150000</f>
        <v>267000</v>
      </c>
      <c r="G8" s="33">
        <f>68962.57+212448.72-1000+4020</f>
        <v>284431.29000000004</v>
      </c>
      <c r="H8" s="32">
        <v>200000</v>
      </c>
      <c r="I8" s="37">
        <f>1650+3450+1280</f>
        <v>6380</v>
      </c>
      <c r="J8" s="32">
        <v>45000</v>
      </c>
      <c r="K8" s="33">
        <v>0</v>
      </c>
      <c r="L8" s="32">
        <v>0</v>
      </c>
      <c r="M8" s="33">
        <f>228911.05+931629.15</f>
        <v>1160540.2</v>
      </c>
      <c r="N8" s="32">
        <f>1000000*2</f>
        <v>2000000</v>
      </c>
      <c r="O8" s="33">
        <f>3077609.18+357416.49</f>
        <v>3435025.67</v>
      </c>
      <c r="P8" s="34">
        <f>+O8+M8+K8+G8+E8+C8+I8</f>
        <v>5106466.78</v>
      </c>
      <c r="Q8" s="34">
        <f>+B8+D8+F8+J8+L8+N8-P8+H8</f>
        <v>-2035358.7800000003</v>
      </c>
      <c r="R8" s="5"/>
    </row>
    <row r="9" spans="1:17" ht="17.25">
      <c r="A9" s="31" t="s">
        <v>13</v>
      </c>
      <c r="B9" s="32">
        <v>1897516</v>
      </c>
      <c r="C9" s="33">
        <f>1268.31+121875.99+6908.02+275891.39+698.18+141561.59+425.77+22284.68</f>
        <v>570913.93</v>
      </c>
      <c r="D9" s="32">
        <v>80000</v>
      </c>
      <c r="E9" s="33">
        <f>732+454</f>
        <v>1186</v>
      </c>
      <c r="F9" s="79">
        <f>397500-35000</f>
        <v>362500</v>
      </c>
      <c r="G9" s="80">
        <f>21344.04+43771.95</f>
        <v>65115.99</v>
      </c>
      <c r="H9" s="81">
        <v>0</v>
      </c>
      <c r="I9" s="82">
        <v>0</v>
      </c>
      <c r="J9" s="79">
        <v>40000</v>
      </c>
      <c r="K9" s="80">
        <v>0</v>
      </c>
      <c r="L9" s="83">
        <v>0</v>
      </c>
      <c r="M9" s="80">
        <v>0</v>
      </c>
      <c r="N9" s="83">
        <v>0</v>
      </c>
      <c r="O9" s="80">
        <v>115780.95</v>
      </c>
      <c r="P9" s="34">
        <f>+O9+M9+K9+G9+E9+C9</f>
        <v>752996.8700000001</v>
      </c>
      <c r="Q9" s="34">
        <f>+B9+D9+F9+J9+L9+N9-P9+H9</f>
        <v>1627019.13</v>
      </c>
    </row>
    <row r="10" spans="1:18" ht="17.25">
      <c r="A10" s="31" t="s">
        <v>12</v>
      </c>
      <c r="B10" s="32">
        <v>678669</v>
      </c>
      <c r="C10" s="33">
        <f>3612.97+120550.67+2051.61+56032.5+193.39+32503.93</f>
        <v>214945.07</v>
      </c>
      <c r="D10" s="32">
        <v>76800</v>
      </c>
      <c r="E10" s="33">
        <f>10862.21+5602.17</f>
        <v>16464.379999999997</v>
      </c>
      <c r="F10" s="32">
        <f>204000-20000</f>
        <v>184000</v>
      </c>
      <c r="G10" s="33">
        <f>4076+5093.28+51.77</f>
        <v>9221.05</v>
      </c>
      <c r="H10" s="32">
        <v>0</v>
      </c>
      <c r="I10" s="37">
        <v>0</v>
      </c>
      <c r="J10" s="32">
        <v>21800</v>
      </c>
      <c r="K10" s="33">
        <f>6243.98+719.67</f>
        <v>6963.65</v>
      </c>
      <c r="L10" s="32">
        <f>7530000-1000000</f>
        <v>6530000</v>
      </c>
      <c r="M10" s="33">
        <f>684314.21+1756115.85+4749.51+95803.66</f>
        <v>2540983.23</v>
      </c>
      <c r="N10" s="32">
        <v>0</v>
      </c>
      <c r="O10" s="33">
        <f>1756.17+114753.23</f>
        <v>116509.4</v>
      </c>
      <c r="P10" s="34">
        <f>+O10+M10+K10+G10+E10+C10+I10</f>
        <v>2905086.7799999993</v>
      </c>
      <c r="Q10" s="34">
        <f>+B10+D10+F10+J10+L10+N10-P10+H10</f>
        <v>4586182.220000001</v>
      </c>
      <c r="R10" s="5"/>
    </row>
    <row r="11" spans="1:18" ht="17.25">
      <c r="A11" s="31" t="s">
        <v>80</v>
      </c>
      <c r="B11" s="32">
        <v>1554747</v>
      </c>
      <c r="C11" s="33">
        <f>4893.53+180220.69+1685.6+52356.11+4521.03+128990.68+1498.54+57298.31</f>
        <v>431464.49</v>
      </c>
      <c r="D11" s="32">
        <v>65500</v>
      </c>
      <c r="E11" s="33">
        <f>8567.5+23897.53</f>
        <v>32465.03</v>
      </c>
      <c r="F11" s="32">
        <v>1300000</v>
      </c>
      <c r="G11" s="33">
        <f>8429.55+332450.61+6538.72+32.96+70.69</f>
        <v>347522.52999999997</v>
      </c>
      <c r="H11" s="32">
        <v>0</v>
      </c>
      <c r="I11" s="37">
        <v>0</v>
      </c>
      <c r="J11" s="32">
        <v>57500</v>
      </c>
      <c r="K11" s="33">
        <v>1300.26</v>
      </c>
      <c r="L11" s="32">
        <v>454000</v>
      </c>
      <c r="M11" s="33">
        <f>323498.12+2111604.14+8581.22</f>
        <v>2443683.4800000004</v>
      </c>
      <c r="N11" s="32">
        <v>0</v>
      </c>
      <c r="O11" s="33">
        <f>3346.68+819220.09</f>
        <v>822566.77</v>
      </c>
      <c r="P11" s="34">
        <f>+O11+M11+K11+I11+G11+E11+C11</f>
        <v>4079002.5599999996</v>
      </c>
      <c r="Q11" s="34">
        <f>+N11+L11+J11+H11+F11+D11+B11-P11</f>
        <v>-647255.5599999996</v>
      </c>
      <c r="R11" s="5"/>
    </row>
    <row r="12" spans="1:17" ht="9" customHeight="1">
      <c r="A12" s="31"/>
      <c r="B12" s="35"/>
      <c r="C12" s="33"/>
      <c r="D12" s="32"/>
      <c r="E12" s="33"/>
      <c r="F12" s="32"/>
      <c r="G12" s="33"/>
      <c r="H12" s="37"/>
      <c r="I12" s="37"/>
      <c r="J12" s="32"/>
      <c r="K12" s="33"/>
      <c r="L12" s="32"/>
      <c r="M12" s="33"/>
      <c r="N12" s="32"/>
      <c r="O12" s="33"/>
      <c r="P12" s="34"/>
      <c r="Q12" s="84"/>
    </row>
    <row r="13" spans="1:17" ht="18" thickBot="1">
      <c r="A13" s="38" t="s">
        <v>11</v>
      </c>
      <c r="B13" s="39">
        <f aca="true" t="shared" si="0" ref="B13:Q13">SUM(B8:B12)</f>
        <v>4632040</v>
      </c>
      <c r="C13" s="40">
        <f t="shared" si="0"/>
        <v>1424926.62</v>
      </c>
      <c r="D13" s="39">
        <f t="shared" si="0"/>
        <v>280300</v>
      </c>
      <c r="E13" s="40">
        <f t="shared" si="0"/>
        <v>62601.899999999994</v>
      </c>
      <c r="F13" s="39">
        <f t="shared" si="0"/>
        <v>2113500</v>
      </c>
      <c r="G13" s="40">
        <f t="shared" si="0"/>
        <v>706290.86</v>
      </c>
      <c r="H13" s="39">
        <f t="shared" si="0"/>
        <v>200000</v>
      </c>
      <c r="I13" s="41">
        <f t="shared" si="0"/>
        <v>6380</v>
      </c>
      <c r="J13" s="39">
        <f t="shared" si="0"/>
        <v>164300</v>
      </c>
      <c r="K13" s="40">
        <f t="shared" si="0"/>
        <v>8263.91</v>
      </c>
      <c r="L13" s="39">
        <f t="shared" si="0"/>
        <v>6984000</v>
      </c>
      <c r="M13" s="40">
        <f t="shared" si="0"/>
        <v>6145206.91</v>
      </c>
      <c r="N13" s="39">
        <f t="shared" si="0"/>
        <v>2000000</v>
      </c>
      <c r="O13" s="40">
        <f t="shared" si="0"/>
        <v>4489882.79</v>
      </c>
      <c r="P13" s="42">
        <f t="shared" si="0"/>
        <v>12843552.989999998</v>
      </c>
      <c r="Q13" s="42">
        <f t="shared" si="0"/>
        <v>3530587.0100000007</v>
      </c>
    </row>
    <row r="14" spans="1:17" ht="17.25" thickBot="1">
      <c r="A14" s="43" t="s">
        <v>30</v>
      </c>
      <c r="B14" s="44"/>
      <c r="C14" s="139">
        <f>+C13/B13</f>
        <v>0.30762398856659273</v>
      </c>
      <c r="D14" s="45"/>
      <c r="E14" s="139">
        <f>+E13/D13</f>
        <v>0.22333892258294682</v>
      </c>
      <c r="F14" s="45"/>
      <c r="G14" s="139">
        <f>+G13/F13</f>
        <v>0.33418067660279155</v>
      </c>
      <c r="H14" s="45"/>
      <c r="I14" s="139">
        <f>+I13/H13</f>
        <v>0.0319</v>
      </c>
      <c r="J14" s="45"/>
      <c r="K14" s="139">
        <f>+K13/J13</f>
        <v>0.050297687157638465</v>
      </c>
      <c r="L14" s="45"/>
      <c r="M14" s="139">
        <f>+M13/L13</f>
        <v>0.8798978966208477</v>
      </c>
      <c r="N14" s="47"/>
      <c r="O14" s="141">
        <f>+O13/N13</f>
        <v>2.244941395</v>
      </c>
      <c r="P14" s="58"/>
      <c r="Q14" s="5"/>
    </row>
    <row r="15" spans="12:17" ht="16.5">
      <c r="L15" s="78"/>
      <c r="P15" s="52"/>
      <c r="Q15" s="5"/>
    </row>
    <row r="16" ht="16.5">
      <c r="P16" s="5"/>
    </row>
    <row r="38" spans="1:6" ht="16.5">
      <c r="A38" s="53"/>
      <c r="B38" s="53"/>
      <c r="C38" s="53"/>
      <c r="D38" s="53"/>
      <c r="E38" s="53"/>
      <c r="F38" s="53"/>
    </row>
    <row r="40" spans="3:6" ht="17.25">
      <c r="C40" s="65"/>
      <c r="D40" s="5"/>
      <c r="E40" s="53"/>
      <c r="F40" s="53"/>
    </row>
    <row r="41" spans="3:6" ht="17.25">
      <c r="C41" s="65"/>
      <c r="D41" s="5"/>
      <c r="E41" s="53"/>
      <c r="F41" s="53"/>
    </row>
    <row r="42" spans="3:6" ht="17.25">
      <c r="C42" s="65"/>
      <c r="D42" s="5"/>
      <c r="E42" s="53"/>
      <c r="F42" s="53"/>
    </row>
    <row r="43" spans="3:6" ht="17.25">
      <c r="C43" s="65"/>
      <c r="D43" s="5"/>
      <c r="E43" s="53"/>
      <c r="F43" s="53"/>
    </row>
    <row r="44" spans="3:6" ht="17.25">
      <c r="C44" s="65"/>
      <c r="D44" s="5"/>
      <c r="E44" s="53"/>
      <c r="F44" s="53"/>
    </row>
    <row r="45" spans="3:6" ht="17.25">
      <c r="C45" s="65"/>
      <c r="D45" s="5"/>
      <c r="E45" s="53"/>
      <c r="F45" s="53"/>
    </row>
    <row r="46" ht="17.25">
      <c r="C46" s="64"/>
    </row>
    <row r="49" spans="4:5" ht="16.5">
      <c r="D49" s="62"/>
      <c r="E49" s="62"/>
    </row>
    <row r="50" spans="1:5" ht="16.5">
      <c r="A50" s="62" t="s">
        <v>26</v>
      </c>
      <c r="B50" s="62" t="s">
        <v>27</v>
      </c>
      <c r="C50" s="62" t="s">
        <v>28</v>
      </c>
      <c r="D50" s="62"/>
      <c r="E50" s="62"/>
    </row>
    <row r="51" spans="1:3" ht="17.25">
      <c r="A51" s="64">
        <f>+B13</f>
        <v>4632040</v>
      </c>
      <c r="B51" s="65">
        <f>+C13</f>
        <v>1424926.62</v>
      </c>
      <c r="C51" s="62" t="s">
        <v>1</v>
      </c>
    </row>
    <row r="52" spans="1:3" ht="17.25">
      <c r="A52" s="64">
        <f>+D13</f>
        <v>280300</v>
      </c>
      <c r="B52" s="65">
        <f>+E13</f>
        <v>62601.899999999994</v>
      </c>
      <c r="C52" s="62" t="s">
        <v>2</v>
      </c>
    </row>
    <row r="53" spans="1:3" ht="17.25">
      <c r="A53" s="64">
        <f>+F13</f>
        <v>2113500</v>
      </c>
      <c r="B53" s="65">
        <f>+G13</f>
        <v>706290.86</v>
      </c>
      <c r="C53" s="62" t="s">
        <v>3</v>
      </c>
    </row>
    <row r="54" spans="1:3" ht="17.25">
      <c r="A54" s="66">
        <f>+H13</f>
        <v>200000</v>
      </c>
      <c r="B54" s="65">
        <f>+I13</f>
        <v>6380</v>
      </c>
      <c r="C54" s="62" t="s">
        <v>34</v>
      </c>
    </row>
    <row r="55" spans="1:3" ht="17.25">
      <c r="A55" s="64">
        <f>+J13</f>
        <v>164300</v>
      </c>
      <c r="B55" s="65">
        <f>+K13</f>
        <v>8263.91</v>
      </c>
      <c r="C55" s="62" t="s">
        <v>32</v>
      </c>
    </row>
    <row r="56" spans="1:3" ht="17.25">
      <c r="A56" s="64">
        <f>+L13</f>
        <v>6984000</v>
      </c>
      <c r="B56" s="65">
        <f>+M13</f>
        <v>6145206.91</v>
      </c>
      <c r="C56" s="62" t="s">
        <v>29</v>
      </c>
    </row>
    <row r="57" spans="1:3" ht="17.25">
      <c r="A57" s="64">
        <f>+N13</f>
        <v>2000000</v>
      </c>
      <c r="B57" s="65">
        <f>+O13</f>
        <v>4489882.79</v>
      </c>
      <c r="C57" s="62" t="s">
        <v>35</v>
      </c>
    </row>
    <row r="58" spans="1:2" ht="17.25">
      <c r="A58" s="64">
        <v>2832908</v>
      </c>
      <c r="B58" s="65">
        <v>692231.2</v>
      </c>
    </row>
    <row r="59" spans="1:2" ht="17.25">
      <c r="A59" s="64"/>
      <c r="B59" s="64"/>
    </row>
    <row r="60" spans="1:2" ht="17.25">
      <c r="A60" s="64"/>
      <c r="B60" s="64"/>
    </row>
  </sheetData>
  <sheetProtection/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69" right="0.26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I1">
      <selection activeCell="O3" sqref="O3"/>
    </sheetView>
  </sheetViews>
  <sheetFormatPr defaultColWidth="11.421875" defaultRowHeight="15"/>
  <cols>
    <col min="1" max="1" width="19.28125" style="1" customWidth="1"/>
    <col min="2" max="2" width="10.851562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2.281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6.28125" style="1" customWidth="1"/>
    <col min="13" max="13" width="9.28125" style="1" customWidth="1"/>
    <col min="14" max="14" width="9.421875" style="1" customWidth="1"/>
    <col min="15" max="16" width="12.28125" style="1" customWidth="1"/>
    <col min="17" max="17" width="13.140625" style="1" customWidth="1"/>
    <col min="18" max="18" width="13.8515625" style="1" bestFit="1" customWidth="1"/>
    <col min="19" max="16384" width="11.421875" style="1" customWidth="1"/>
  </cols>
  <sheetData>
    <row r="2" spans="1:15" ht="18">
      <c r="A2" s="146" t="s">
        <v>0</v>
      </c>
      <c r="B2" s="165" t="s">
        <v>108</v>
      </c>
      <c r="C2" s="184"/>
      <c r="D2" s="184"/>
      <c r="E2" s="184"/>
      <c r="F2" s="177"/>
      <c r="G2" s="177"/>
      <c r="H2" s="177"/>
      <c r="I2" s="178"/>
      <c r="J2" s="21"/>
      <c r="K2" s="174" t="s">
        <v>23</v>
      </c>
      <c r="L2" s="175"/>
      <c r="M2" s="150">
        <v>41000</v>
      </c>
      <c r="O2" s="56"/>
    </row>
    <row r="3" spans="2:16" ht="16.5">
      <c r="B3" s="182"/>
      <c r="C3" s="183"/>
      <c r="D3" s="183"/>
      <c r="E3" s="183"/>
      <c r="F3" s="67"/>
      <c r="P3" s="85"/>
    </row>
    <row r="5" ht="17.25" thickBot="1"/>
    <row r="6" spans="1:17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32</v>
      </c>
      <c r="K6" s="173"/>
      <c r="L6" s="172" t="s">
        <v>102</v>
      </c>
      <c r="M6" s="173"/>
      <c r="N6" s="172" t="s">
        <v>33</v>
      </c>
      <c r="O6" s="173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6" t="s">
        <v>14</v>
      </c>
      <c r="B8" s="32">
        <v>694580</v>
      </c>
      <c r="C8" s="33">
        <f>3107.97+178564.03+2197.84+24958.71+12+67238.34</f>
        <v>276078.89</v>
      </c>
      <c r="D8" s="32">
        <v>70000</v>
      </c>
      <c r="E8" s="33">
        <f>3763.01+8804.01</f>
        <v>12567.02</v>
      </c>
      <c r="F8" s="32">
        <f>1243000-25000</f>
        <v>1218000</v>
      </c>
      <c r="G8" s="33">
        <f>116087.6+236548.53</f>
        <v>352636.13</v>
      </c>
      <c r="H8" s="32">
        <v>20000</v>
      </c>
      <c r="I8" s="33">
        <v>0</v>
      </c>
      <c r="J8" s="32">
        <v>150000</v>
      </c>
      <c r="K8" s="33">
        <v>115</v>
      </c>
      <c r="L8" s="32">
        <v>0</v>
      </c>
      <c r="M8" s="37">
        <v>0</v>
      </c>
      <c r="N8" s="32">
        <f>500000+800000</f>
        <v>1300000</v>
      </c>
      <c r="O8" s="33">
        <f>44651.47+368141.52</f>
        <v>412792.99</v>
      </c>
      <c r="P8" s="34">
        <f>+O8+K8+G8+E8+C8+I8+M8</f>
        <v>1054190.03</v>
      </c>
      <c r="Q8" s="34">
        <f>+B8+D8+F8+H8+J8+N8-P8</f>
        <v>2398389.9699999997</v>
      </c>
      <c r="R8" s="5"/>
    </row>
    <row r="9" spans="1:18" ht="17.25">
      <c r="A9" s="86" t="s">
        <v>89</v>
      </c>
      <c r="B9" s="32">
        <v>3806949</v>
      </c>
      <c r="C9" s="33">
        <f>19788.78+132473.4+9153.21+413111.46+4990.25+277873.86+1627.46+335259.39</f>
        <v>1194277.81</v>
      </c>
      <c r="D9" s="32">
        <v>149000</v>
      </c>
      <c r="E9" s="33">
        <f>5867.6+23591.91+95</f>
        <v>29554.510000000002</v>
      </c>
      <c r="F9" s="32">
        <f>228000-50000</f>
        <v>178000</v>
      </c>
      <c r="G9" s="33">
        <f>3760.85+23393.98+186+363.95-236.69+1786.6</f>
        <v>29254.69</v>
      </c>
      <c r="H9" s="32">
        <v>0</v>
      </c>
      <c r="I9" s="33">
        <v>1023.2</v>
      </c>
      <c r="J9" s="32">
        <v>280000</v>
      </c>
      <c r="K9" s="33">
        <v>1528.38</v>
      </c>
      <c r="L9" s="32">
        <v>0</v>
      </c>
      <c r="M9" s="37">
        <v>0</v>
      </c>
      <c r="N9" s="32">
        <v>0</v>
      </c>
      <c r="O9" s="33">
        <v>216208</v>
      </c>
      <c r="P9" s="34">
        <f>+O9+K9+G9+E9+C9+M9+I9</f>
        <v>1471846.59</v>
      </c>
      <c r="Q9" s="34">
        <f>+B9+D9+F9+H9+J9+N9-P9</f>
        <v>2942102.41</v>
      </c>
      <c r="R9" s="5"/>
    </row>
    <row r="10" spans="1:18" ht="17.25">
      <c r="A10" s="86" t="s">
        <v>88</v>
      </c>
      <c r="B10" s="32">
        <v>4495029</v>
      </c>
      <c r="C10" s="33">
        <f>11688.48+297833.68+191.31+73472.86+54314.26+867177.86</f>
        <v>1304678.45</v>
      </c>
      <c r="D10" s="32">
        <v>118000</v>
      </c>
      <c r="E10" s="33">
        <f>26278+18720.6</f>
        <v>44998.6</v>
      </c>
      <c r="F10" s="32">
        <f>3582000-50000</f>
        <v>3532000</v>
      </c>
      <c r="G10" s="33">
        <f>555846.2+847827.24+3472.67+68.97</f>
        <v>1407215.0799999998</v>
      </c>
      <c r="H10" s="32">
        <v>0</v>
      </c>
      <c r="I10" s="33">
        <v>536.24</v>
      </c>
      <c r="J10" s="32">
        <v>80000</v>
      </c>
      <c r="K10" s="33">
        <f>506.35+6455.25</f>
        <v>6961.6</v>
      </c>
      <c r="L10" s="32">
        <v>0</v>
      </c>
      <c r="M10" s="37">
        <v>0</v>
      </c>
      <c r="N10" s="32">
        <v>0</v>
      </c>
      <c r="O10" s="33">
        <v>221060.7</v>
      </c>
      <c r="P10" s="34">
        <f>+O10+K10+G10+E10+C10+M10+I10</f>
        <v>2985450.67</v>
      </c>
      <c r="Q10" s="34">
        <f>+B10+D10+F10+H10+J10+N10-P10</f>
        <v>5239578.33</v>
      </c>
      <c r="R10" s="5"/>
    </row>
    <row r="11" spans="1:18" ht="17.25">
      <c r="A11" s="86" t="s">
        <v>90</v>
      </c>
      <c r="B11" s="32">
        <v>3930629</v>
      </c>
      <c r="C11" s="33">
        <f>2137.07+77769.73+88081.03+994309.87+7744.95+44262.81</f>
        <v>1214305.46</v>
      </c>
      <c r="D11" s="32">
        <v>292000</v>
      </c>
      <c r="E11" s="33">
        <f>14478.69+33488.99+3913</f>
        <v>51880.68</v>
      </c>
      <c r="F11" s="32">
        <f>330000-55000</f>
        <v>275000</v>
      </c>
      <c r="G11" s="33">
        <f>41645.93+79563.85+97.34+32.96</f>
        <v>121340.08</v>
      </c>
      <c r="H11" s="32">
        <v>0</v>
      </c>
      <c r="I11" s="33">
        <v>0</v>
      </c>
      <c r="J11" s="32">
        <v>200000</v>
      </c>
      <c r="K11" s="33">
        <f>4445.09+77.8</f>
        <v>4522.89</v>
      </c>
      <c r="L11" s="32">
        <v>0</v>
      </c>
      <c r="M11" s="37">
        <v>0</v>
      </c>
      <c r="N11" s="32">
        <v>0</v>
      </c>
      <c r="O11" s="33">
        <f>1439.9+206705.59</f>
        <v>208145.49</v>
      </c>
      <c r="P11" s="34">
        <f>+O11+K11+G11+E11+C11</f>
        <v>1600194.6</v>
      </c>
      <c r="Q11" s="34">
        <f>+B11+D11+F11+H11+J11+N11+L11-P11</f>
        <v>3097434.4</v>
      </c>
      <c r="R11" s="5"/>
    </row>
    <row r="12" spans="1:17" ht="9" customHeight="1">
      <c r="A12" s="86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12927187</v>
      </c>
      <c r="C13" s="40">
        <f t="shared" si="0"/>
        <v>3989340.6100000003</v>
      </c>
      <c r="D13" s="39">
        <f t="shared" si="0"/>
        <v>629000</v>
      </c>
      <c r="E13" s="40">
        <f t="shared" si="0"/>
        <v>139000.81</v>
      </c>
      <c r="F13" s="39">
        <f t="shared" si="0"/>
        <v>5203000</v>
      </c>
      <c r="G13" s="40">
        <f t="shared" si="0"/>
        <v>1910445.98</v>
      </c>
      <c r="H13" s="39">
        <f t="shared" si="0"/>
        <v>20000</v>
      </c>
      <c r="I13" s="40">
        <f t="shared" si="0"/>
        <v>1559.44</v>
      </c>
      <c r="J13" s="39">
        <f t="shared" si="0"/>
        <v>710000</v>
      </c>
      <c r="K13" s="40">
        <f t="shared" si="0"/>
        <v>13127.869999999999</v>
      </c>
      <c r="L13" s="39">
        <f>SUM(L8:L12)</f>
        <v>0</v>
      </c>
      <c r="M13" s="40">
        <f>SUM(M8:M12)</f>
        <v>0</v>
      </c>
      <c r="N13" s="39">
        <f t="shared" si="0"/>
        <v>1300000</v>
      </c>
      <c r="O13" s="40">
        <f t="shared" si="0"/>
        <v>1058207.18</v>
      </c>
      <c r="P13" s="87">
        <f t="shared" si="0"/>
        <v>7111681.890000001</v>
      </c>
      <c r="Q13" s="152">
        <f t="shared" si="0"/>
        <v>13677505.110000001</v>
      </c>
    </row>
    <row r="14" spans="1:17" ht="17.25" thickBot="1">
      <c r="A14" s="38" t="s">
        <v>30</v>
      </c>
      <c r="B14" s="88"/>
      <c r="C14" s="93">
        <f>+C13/B13</f>
        <v>0.30860082785218473</v>
      </c>
      <c r="D14" s="89"/>
      <c r="E14" s="93">
        <f>+E13/D13</f>
        <v>0.22098697933227346</v>
      </c>
      <c r="F14" s="89"/>
      <c r="G14" s="93">
        <f>+G13/F13</f>
        <v>0.3671816221410725</v>
      </c>
      <c r="H14" s="89"/>
      <c r="I14" s="93">
        <f>+I13/H13</f>
        <v>0.077972</v>
      </c>
      <c r="J14" s="89"/>
      <c r="K14" s="93">
        <f>+K13/J13</f>
        <v>0.018489957746478873</v>
      </c>
      <c r="L14" s="90"/>
      <c r="M14" s="47"/>
      <c r="N14" s="45"/>
      <c r="O14" s="141">
        <f>+O13/N13</f>
        <v>0.814005523076923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78"/>
    </row>
    <row r="16" ht="16.5">
      <c r="P16" s="5"/>
    </row>
    <row r="18" ht="16.5">
      <c r="Q18" s="5"/>
    </row>
    <row r="41" spans="1:6" ht="16.5">
      <c r="A41" s="53"/>
      <c r="B41" s="53"/>
      <c r="C41" s="53"/>
      <c r="D41" s="53"/>
      <c r="E41" s="53"/>
      <c r="F41" s="53"/>
    </row>
    <row r="43" spans="3:6" ht="16.5">
      <c r="C43" s="52"/>
      <c r="D43" s="5"/>
      <c r="E43" s="53"/>
      <c r="F43" s="53"/>
    </row>
    <row r="44" spans="4:6" ht="16.5">
      <c r="D44" s="5"/>
      <c r="F44" s="53"/>
    </row>
    <row r="45" spans="1:6" ht="16.5">
      <c r="A45" s="62" t="s">
        <v>26</v>
      </c>
      <c r="B45" s="71" t="s">
        <v>27</v>
      </c>
      <c r="C45" s="91" t="s">
        <v>28</v>
      </c>
      <c r="D45" s="5"/>
      <c r="F45" s="53"/>
    </row>
    <row r="46" spans="1:6" ht="17.25">
      <c r="A46" s="64">
        <f>+B13</f>
        <v>12927187</v>
      </c>
      <c r="B46" s="65">
        <f>+C13</f>
        <v>3989340.6100000003</v>
      </c>
      <c r="C46" s="91" t="s">
        <v>1</v>
      </c>
      <c r="D46" s="5"/>
      <c r="F46" s="53"/>
    </row>
    <row r="47" spans="1:6" ht="17.25">
      <c r="A47" s="64">
        <f>+D13</f>
        <v>629000</v>
      </c>
      <c r="B47" s="65">
        <f>+E13</f>
        <v>139000.81</v>
      </c>
      <c r="C47" s="91" t="s">
        <v>2</v>
      </c>
      <c r="D47" s="5"/>
      <c r="F47" s="53"/>
    </row>
    <row r="48" spans="1:6" ht="17.25">
      <c r="A48" s="64">
        <f>+F13</f>
        <v>5203000</v>
      </c>
      <c r="B48" s="65">
        <f>+G13</f>
        <v>1910445.98</v>
      </c>
      <c r="C48" s="91" t="s">
        <v>3</v>
      </c>
      <c r="D48" s="5"/>
      <c r="F48" s="53"/>
    </row>
    <row r="49" spans="1:6" ht="17.25">
      <c r="A49" s="66">
        <f>+H13</f>
        <v>20000</v>
      </c>
      <c r="B49" s="65">
        <f>+I13</f>
        <v>1559.44</v>
      </c>
      <c r="C49" s="92" t="s">
        <v>34</v>
      </c>
      <c r="D49" s="5"/>
      <c r="F49" s="53"/>
    </row>
    <row r="50" spans="1:3" ht="17.25">
      <c r="A50" s="64">
        <f>+J13</f>
        <v>710000</v>
      </c>
      <c r="B50" s="65">
        <f>+K13</f>
        <v>13127.869999999999</v>
      </c>
      <c r="C50" s="62" t="s">
        <v>32</v>
      </c>
    </row>
    <row r="51" spans="1:3" ht="17.25" hidden="1">
      <c r="A51" s="66">
        <f>+L13</f>
        <v>0</v>
      </c>
      <c r="B51" s="65">
        <f>+M13</f>
        <v>0</v>
      </c>
      <c r="C51" s="62" t="s">
        <v>100</v>
      </c>
    </row>
    <row r="52" spans="1:3" ht="17.25">
      <c r="A52" s="64">
        <f>+N13</f>
        <v>1300000</v>
      </c>
      <c r="B52" s="65">
        <f>+O13</f>
        <v>1058207.18</v>
      </c>
      <c r="C52" s="62" t="s">
        <v>35</v>
      </c>
    </row>
    <row r="53" spans="2:3" ht="16.5">
      <c r="B53" s="48"/>
      <c r="C53" s="62"/>
    </row>
    <row r="54" spans="1:2" ht="16.5">
      <c r="A54" s="1">
        <v>2161994.87</v>
      </c>
      <c r="B54" s="52">
        <v>623381.8</v>
      </c>
    </row>
  </sheetData>
  <sheetProtection/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58" right="0.25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L1" sqref="L1:M16384"/>
    </sheetView>
  </sheetViews>
  <sheetFormatPr defaultColWidth="11.421875" defaultRowHeight="15"/>
  <cols>
    <col min="1" max="1" width="23.00390625" style="1" customWidth="1"/>
    <col min="2" max="2" width="9.28125" style="1" customWidth="1"/>
    <col min="3" max="3" width="10.57421875" style="1" customWidth="1"/>
    <col min="4" max="4" width="7.7109375" style="1" customWidth="1"/>
    <col min="5" max="5" width="9.5742187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421875" style="1" customWidth="1"/>
    <col min="10" max="10" width="7.28125" style="1" customWidth="1"/>
    <col min="11" max="11" width="9.421875" style="1" customWidth="1"/>
    <col min="12" max="12" width="7.140625" style="1" hidden="1" customWidth="1"/>
    <col min="13" max="13" width="9.57421875" style="1" hidden="1" customWidth="1"/>
    <col min="14" max="14" width="7.57421875" style="1" customWidth="1"/>
    <col min="15" max="15" width="10.57421875" style="1" customWidth="1"/>
    <col min="16" max="16" width="10.8515625" style="1" customWidth="1"/>
    <col min="17" max="17" width="12.140625" style="1" customWidth="1"/>
    <col min="18" max="16384" width="11.421875" style="1" customWidth="1"/>
  </cols>
  <sheetData>
    <row r="2" spans="1:15" ht="18">
      <c r="A2" s="146" t="s">
        <v>0</v>
      </c>
      <c r="B2" s="165" t="s">
        <v>109</v>
      </c>
      <c r="C2" s="165"/>
      <c r="D2" s="170"/>
      <c r="E2" s="170"/>
      <c r="I2" s="174" t="s">
        <v>23</v>
      </c>
      <c r="J2" s="174"/>
      <c r="K2" s="150">
        <v>41000</v>
      </c>
      <c r="L2" s="125"/>
      <c r="M2" s="125"/>
      <c r="O2" s="23"/>
    </row>
    <row r="3" spans="2:3" ht="16.5">
      <c r="B3" s="182"/>
      <c r="C3" s="182"/>
    </row>
    <row r="5" ht="17.25" thickBot="1"/>
    <row r="6" spans="1:17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32</v>
      </c>
      <c r="K6" s="173"/>
      <c r="L6" s="127" t="s">
        <v>36</v>
      </c>
      <c r="M6" s="75"/>
      <c r="N6" s="172" t="s">
        <v>33</v>
      </c>
      <c r="O6" s="173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7" ht="17.25">
      <c r="A8" s="97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3"/>
      <c r="Q8" s="162"/>
    </row>
    <row r="9" spans="1:18" ht="17.25">
      <c r="A9" s="31" t="s">
        <v>96</v>
      </c>
      <c r="B9" s="32">
        <v>1067260</v>
      </c>
      <c r="C9" s="33">
        <f>42023.93+235558.01</f>
        <v>277581.94</v>
      </c>
      <c r="D9" s="68">
        <v>12700</v>
      </c>
      <c r="E9" s="33">
        <f>7418.2+12120.64</f>
        <v>19538.84</v>
      </c>
      <c r="F9" s="68">
        <v>64160</v>
      </c>
      <c r="G9" s="33">
        <f>1253+5075.01</f>
        <v>6328.01</v>
      </c>
      <c r="H9" s="68">
        <v>160000</v>
      </c>
      <c r="I9" s="33">
        <f>25537.45+77571</f>
        <v>103108.45</v>
      </c>
      <c r="J9" s="68">
        <v>6000</v>
      </c>
      <c r="K9" s="33">
        <v>0</v>
      </c>
      <c r="L9" s="68">
        <v>0</v>
      </c>
      <c r="M9" s="33">
        <v>0</v>
      </c>
      <c r="N9" s="68">
        <f>30000+200000</f>
        <v>230000</v>
      </c>
      <c r="O9" s="33">
        <f>310.1+120914.54</f>
        <v>121224.64</v>
      </c>
      <c r="P9" s="34">
        <f>+C9+G9+I9+K9+O9+E9</f>
        <v>527781.88</v>
      </c>
      <c r="Q9" s="34">
        <f>+B9+D9+F9+H9+J9+N9-P9+L9</f>
        <v>1012338.12</v>
      </c>
      <c r="R9" s="158"/>
    </row>
    <row r="10" spans="1:17" ht="17.25">
      <c r="A10" s="31" t="s">
        <v>130</v>
      </c>
      <c r="B10" s="32">
        <v>158352</v>
      </c>
      <c r="C10" s="33">
        <f>35033.17+125388.07</f>
        <v>160421.24</v>
      </c>
      <c r="D10" s="68">
        <v>0</v>
      </c>
      <c r="E10" s="33">
        <v>0</v>
      </c>
      <c r="F10" s="68">
        <v>0</v>
      </c>
      <c r="G10" s="33">
        <v>239.03</v>
      </c>
      <c r="H10" s="68">
        <v>0</v>
      </c>
      <c r="I10" s="33">
        <v>5000</v>
      </c>
      <c r="J10" s="68">
        <v>0</v>
      </c>
      <c r="K10" s="33">
        <v>0</v>
      </c>
      <c r="L10" s="68">
        <v>0</v>
      </c>
      <c r="M10" s="33">
        <v>0</v>
      </c>
      <c r="N10" s="68">
        <v>0</v>
      </c>
      <c r="O10" s="33">
        <v>0</v>
      </c>
      <c r="P10" s="34">
        <f>+C10+G10+I10+K10+O10+E10</f>
        <v>165660.27</v>
      </c>
      <c r="Q10" s="34">
        <f>+B10+D10+F10+H10+J10+N10-P10</f>
        <v>-7308.2699999999895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>SUM(B9:B10)</f>
        <v>1225612</v>
      </c>
      <c r="C12" s="40">
        <f>SUM(C9:C10)</f>
        <v>438003.18</v>
      </c>
      <c r="D12" s="39">
        <f>SUM(D9:D10)</f>
        <v>12700</v>
      </c>
      <c r="E12" s="40">
        <f>SUM(E9:E10)</f>
        <v>19538.84</v>
      </c>
      <c r="F12" s="39">
        <f>SUM(F9:F11)</f>
        <v>64160</v>
      </c>
      <c r="G12" s="40">
        <f aca="true" t="shared" si="0" ref="G12:Q12">SUM(G9:G10)</f>
        <v>6567.04</v>
      </c>
      <c r="H12" s="39">
        <f t="shared" si="0"/>
        <v>160000</v>
      </c>
      <c r="I12" s="40">
        <f t="shared" si="0"/>
        <v>108108.45</v>
      </c>
      <c r="J12" s="39">
        <f t="shared" si="0"/>
        <v>6000</v>
      </c>
      <c r="K12" s="40">
        <f t="shared" si="0"/>
        <v>0</v>
      </c>
      <c r="L12" s="39">
        <f t="shared" si="0"/>
        <v>0</v>
      </c>
      <c r="M12" s="40">
        <f t="shared" si="0"/>
        <v>0</v>
      </c>
      <c r="N12" s="39">
        <f t="shared" si="0"/>
        <v>230000</v>
      </c>
      <c r="O12" s="40">
        <f t="shared" si="0"/>
        <v>121224.64</v>
      </c>
      <c r="P12" s="42">
        <f t="shared" si="0"/>
        <v>693442.15</v>
      </c>
      <c r="Q12" s="42">
        <f t="shared" si="0"/>
        <v>1005029.85</v>
      </c>
    </row>
    <row r="13" spans="1:17" ht="17.25" thickBot="1">
      <c r="A13" s="43" t="s">
        <v>30</v>
      </c>
      <c r="B13" s="88"/>
      <c r="C13" s="93">
        <f>+C12/B12</f>
        <v>0.35737507465657975</v>
      </c>
      <c r="D13" s="93"/>
      <c r="E13" s="93">
        <f>+E12/D12</f>
        <v>1.5384913385826773</v>
      </c>
      <c r="F13" s="93"/>
      <c r="G13" s="93">
        <f>+G12/F12</f>
        <v>0.10235411471321695</v>
      </c>
      <c r="H13" s="93"/>
      <c r="I13" s="93">
        <f>+I12/H12</f>
        <v>0.6756778125</v>
      </c>
      <c r="J13" s="89"/>
      <c r="K13" s="93">
        <f>+K12/J12</f>
        <v>0</v>
      </c>
      <c r="L13" s="90"/>
      <c r="M13" s="147"/>
      <c r="N13" s="45"/>
      <c r="O13" s="141">
        <f>+O12/N12</f>
        <v>0.527063652173913</v>
      </c>
      <c r="P13" s="58"/>
      <c r="Q13" s="94"/>
    </row>
    <row r="14" spans="1:18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140"/>
      <c r="Q14" s="5"/>
      <c r="R14" s="5"/>
    </row>
    <row r="41" spans="1:8" ht="16.5">
      <c r="A41" s="53"/>
      <c r="B41" s="53"/>
      <c r="C41" s="53"/>
      <c r="D41" s="53"/>
      <c r="G41" s="53"/>
      <c r="H41" s="53"/>
    </row>
    <row r="43" spans="3:8" ht="16.5">
      <c r="C43" s="52"/>
      <c r="D43" s="5"/>
      <c r="G43" s="53"/>
      <c r="H43" s="53"/>
    </row>
    <row r="44" spans="4:8" ht="16.5">
      <c r="D44" s="5"/>
      <c r="H44" s="53"/>
    </row>
    <row r="45" spans="1:8" ht="16.5">
      <c r="A45" s="62" t="s">
        <v>26</v>
      </c>
      <c r="B45" s="71" t="s">
        <v>27</v>
      </c>
      <c r="C45" s="91" t="s">
        <v>28</v>
      </c>
      <c r="D45" s="5"/>
      <c r="H45" s="53"/>
    </row>
    <row r="46" spans="1:8" ht="17.25">
      <c r="A46" s="64">
        <f>+B12</f>
        <v>1225612</v>
      </c>
      <c r="B46" s="65">
        <f>+C12</f>
        <v>438003.18</v>
      </c>
      <c r="C46" s="91" t="s">
        <v>1</v>
      </c>
      <c r="D46" s="5"/>
      <c r="H46" s="53"/>
    </row>
    <row r="47" spans="1:8" ht="17.25">
      <c r="A47" s="64">
        <f>+D12</f>
        <v>12700</v>
      </c>
      <c r="B47" s="65">
        <f>+E12</f>
        <v>19538.84</v>
      </c>
      <c r="C47" s="91" t="s">
        <v>2</v>
      </c>
      <c r="D47" s="5"/>
      <c r="H47" s="53"/>
    </row>
    <row r="48" spans="1:8" ht="17.25">
      <c r="A48" s="64">
        <f>+F12</f>
        <v>64160</v>
      </c>
      <c r="B48" s="65">
        <f>+G12</f>
        <v>6567.04</v>
      </c>
      <c r="C48" s="91" t="s">
        <v>3</v>
      </c>
      <c r="D48" s="5"/>
      <c r="H48" s="53"/>
    </row>
    <row r="49" spans="1:3" ht="17.25">
      <c r="A49" s="64">
        <f>+H12</f>
        <v>160000</v>
      </c>
      <c r="B49" s="65">
        <f>+I12</f>
        <v>108108.45</v>
      </c>
      <c r="C49" s="62" t="s">
        <v>34</v>
      </c>
    </row>
    <row r="50" spans="1:3" ht="17.25">
      <c r="A50" s="64">
        <f>+J12</f>
        <v>6000</v>
      </c>
      <c r="B50" s="65">
        <f>+K12</f>
        <v>0</v>
      </c>
      <c r="C50" s="62" t="s">
        <v>32</v>
      </c>
    </row>
    <row r="51" spans="1:3" ht="17.25" hidden="1">
      <c r="A51" s="66">
        <f>+L12</f>
        <v>0</v>
      </c>
      <c r="B51" s="65">
        <f>+M12</f>
        <v>0</v>
      </c>
      <c r="C51" s="62" t="s">
        <v>95</v>
      </c>
    </row>
    <row r="52" spans="1:3" ht="17.25">
      <c r="A52" s="64">
        <f>+N12</f>
        <v>230000</v>
      </c>
      <c r="B52" s="65">
        <f>+O12</f>
        <v>121224.64</v>
      </c>
      <c r="C52" s="62" t="s">
        <v>35</v>
      </c>
    </row>
    <row r="53" spans="1:3" ht="17.25">
      <c r="A53" s="64">
        <v>565834</v>
      </c>
      <c r="B53" s="65">
        <v>158443.27</v>
      </c>
      <c r="C53" s="95"/>
    </row>
    <row r="54" ht="16.5">
      <c r="C54" s="95"/>
    </row>
    <row r="55" ht="16.5">
      <c r="C55" s="95"/>
    </row>
  </sheetData>
  <sheetProtection/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1.24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D1">
      <selection activeCell="Q8" sqref="Q8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851562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8.140625" style="1" customWidth="1"/>
    <col min="13" max="13" width="9.57421875" style="1" customWidth="1"/>
    <col min="14" max="15" width="10.57421875" style="1" customWidth="1"/>
    <col min="16" max="16384" width="11.421875" style="1" customWidth="1"/>
  </cols>
  <sheetData>
    <row r="2" spans="1:12" ht="18">
      <c r="A2" s="146" t="s">
        <v>0</v>
      </c>
      <c r="B2" s="165" t="s">
        <v>110</v>
      </c>
      <c r="C2" s="184"/>
      <c r="D2" s="170"/>
      <c r="E2" s="170"/>
      <c r="I2" s="174" t="s">
        <v>23</v>
      </c>
      <c r="J2" s="174"/>
      <c r="K2" s="150">
        <v>41000</v>
      </c>
      <c r="L2" s="20"/>
    </row>
    <row r="3" spans="2:4" ht="16.5">
      <c r="B3" s="182"/>
      <c r="C3" s="183"/>
      <c r="D3" s="96"/>
    </row>
    <row r="5" ht="17.25" thickBot="1"/>
    <row r="6" spans="1:15" ht="17.25">
      <c r="A6" s="25"/>
      <c r="B6" s="172" t="s">
        <v>1</v>
      </c>
      <c r="C6" s="173"/>
      <c r="D6" s="172" t="s">
        <v>2</v>
      </c>
      <c r="E6" s="173"/>
      <c r="F6" s="172" t="s">
        <v>3</v>
      </c>
      <c r="G6" s="173"/>
      <c r="H6" s="172" t="s">
        <v>4</v>
      </c>
      <c r="I6" s="173"/>
      <c r="J6" s="172" t="s">
        <v>32</v>
      </c>
      <c r="K6" s="173"/>
      <c r="L6" s="172" t="s">
        <v>33</v>
      </c>
      <c r="M6" s="173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7"/>
      <c r="B8" s="98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5" ht="17.25">
      <c r="A9" s="31" t="s">
        <v>91</v>
      </c>
      <c r="B9" s="57">
        <v>386795</v>
      </c>
      <c r="C9" s="33">
        <f>32401.66+92523.44</f>
        <v>124925.1</v>
      </c>
      <c r="D9" s="76">
        <v>2170</v>
      </c>
      <c r="E9" s="33">
        <v>0</v>
      </c>
      <c r="F9" s="76">
        <v>137960</v>
      </c>
      <c r="G9" s="33">
        <f>7459.74+22392.87</f>
        <v>29852.61</v>
      </c>
      <c r="H9" s="76">
        <v>0</v>
      </c>
      <c r="I9" s="33">
        <v>0</v>
      </c>
      <c r="J9" s="76">
        <v>0</v>
      </c>
      <c r="K9" s="33">
        <v>0</v>
      </c>
      <c r="L9" s="76">
        <f>30000+152000</f>
        <v>182000</v>
      </c>
      <c r="M9" s="33">
        <v>48886.89</v>
      </c>
      <c r="N9" s="34">
        <f>+M9+K9+I9+G9+E9+C9</f>
        <v>203664.6</v>
      </c>
      <c r="O9" s="34">
        <f>+B9+D9+F9+H9+J9+L9-N9</f>
        <v>505260.4</v>
      </c>
    </row>
    <row r="10" spans="1:15" ht="9" customHeight="1">
      <c r="A10" s="97"/>
      <c r="B10" s="98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7"/>
      <c r="B11" s="98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386795</v>
      </c>
      <c r="C12" s="40">
        <f>SUM(C9)</f>
        <v>124925.1</v>
      </c>
      <c r="D12" s="39">
        <f>SUM(D9:D11)</f>
        <v>2170</v>
      </c>
      <c r="E12" s="40">
        <f>SUM(E9)</f>
        <v>0</v>
      </c>
      <c r="F12" s="39">
        <f>SUM(F9:F11)</f>
        <v>137960</v>
      </c>
      <c r="G12" s="40">
        <f>SUM(G9)</f>
        <v>29852.61</v>
      </c>
      <c r="H12" s="99">
        <f>SUM(H9:H11)</f>
        <v>0</v>
      </c>
      <c r="I12" s="40">
        <v>0</v>
      </c>
      <c r="J12" s="39">
        <f>SUM(J9:J11)</f>
        <v>0</v>
      </c>
      <c r="K12" s="40">
        <f>SUM(K9)</f>
        <v>0</v>
      </c>
      <c r="L12" s="39">
        <f>SUM(L9:L11)</f>
        <v>182000</v>
      </c>
      <c r="M12" s="40">
        <f>SUM(M9)</f>
        <v>48886.89</v>
      </c>
      <c r="N12" s="42">
        <f>SUM(N9)</f>
        <v>203664.6</v>
      </c>
      <c r="O12" s="42">
        <f>SUM(O9)</f>
        <v>505260.4</v>
      </c>
    </row>
    <row r="13" spans="1:15" ht="17.25" thickBot="1">
      <c r="A13" s="43" t="s">
        <v>30</v>
      </c>
      <c r="B13" s="88"/>
      <c r="C13" s="93">
        <f>+C12/B12</f>
        <v>0.322974960896599</v>
      </c>
      <c r="D13" s="89"/>
      <c r="E13" s="93">
        <f>+E12/D12</f>
        <v>0</v>
      </c>
      <c r="F13" s="89"/>
      <c r="G13" s="93">
        <f>+G12/F12</f>
        <v>0.21638598144389679</v>
      </c>
      <c r="H13" s="89"/>
      <c r="I13" s="89"/>
      <c r="J13" s="89"/>
      <c r="K13" s="47"/>
      <c r="L13" s="45"/>
      <c r="M13" s="141"/>
      <c r="N13" s="58"/>
      <c r="O13" s="5"/>
    </row>
    <row r="14" spans="1:14" ht="16.5">
      <c r="A14" s="49"/>
      <c r="B14" s="4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33" spans="5:10" ht="16.5">
      <c r="E33" s="61"/>
      <c r="F33" s="61"/>
      <c r="J33" s="61"/>
    </row>
    <row r="44" spans="1:8" ht="16.5">
      <c r="A44" s="53"/>
      <c r="B44" s="53"/>
      <c r="C44" s="53"/>
      <c r="D44" s="53"/>
      <c r="G44" s="53"/>
      <c r="H44" s="53"/>
    </row>
    <row r="46" spans="3:8" ht="16.5">
      <c r="C46" s="5"/>
      <c r="D46" s="5"/>
      <c r="G46" s="53"/>
      <c r="H46" s="53"/>
    </row>
    <row r="47" spans="4:8" ht="16.5">
      <c r="D47" s="5"/>
      <c r="H47" s="53"/>
    </row>
    <row r="48" spans="1:8" ht="16.5">
      <c r="A48" s="71" t="s">
        <v>26</v>
      </c>
      <c r="B48" s="71" t="s">
        <v>27</v>
      </c>
      <c r="C48" s="91" t="s">
        <v>28</v>
      </c>
      <c r="D48" s="5"/>
      <c r="H48" s="53"/>
    </row>
    <row r="49" spans="1:8" ht="17.25">
      <c r="A49" s="65">
        <f>+B12</f>
        <v>386795</v>
      </c>
      <c r="B49" s="65">
        <f>+C12</f>
        <v>124925.1</v>
      </c>
      <c r="C49" s="91" t="s">
        <v>1</v>
      </c>
      <c r="D49" s="5"/>
      <c r="H49" s="53"/>
    </row>
    <row r="50" spans="1:8" ht="17.25">
      <c r="A50" s="65">
        <f>+D12</f>
        <v>2170</v>
      </c>
      <c r="B50" s="65">
        <f>+E12</f>
        <v>0</v>
      </c>
      <c r="C50" s="91" t="s">
        <v>2</v>
      </c>
      <c r="D50" s="5"/>
      <c r="H50" s="53"/>
    </row>
    <row r="51" spans="1:8" ht="17.25">
      <c r="A51" s="65">
        <f>+F12</f>
        <v>137960</v>
      </c>
      <c r="B51" s="65">
        <f>+G12</f>
        <v>29852.61</v>
      </c>
      <c r="C51" s="91" t="s">
        <v>3</v>
      </c>
      <c r="D51" s="5"/>
      <c r="H51" s="53"/>
    </row>
    <row r="52" spans="1:3" ht="17.25" hidden="1">
      <c r="A52" s="65">
        <f>+J12</f>
        <v>0</v>
      </c>
      <c r="B52" s="65">
        <f>+K12</f>
        <v>0</v>
      </c>
      <c r="C52" s="62" t="s">
        <v>32</v>
      </c>
    </row>
    <row r="53" spans="1:3" ht="17.25">
      <c r="A53" s="65">
        <f>+L12</f>
        <v>182000</v>
      </c>
      <c r="B53" s="65">
        <f>+M12</f>
        <v>48886.89</v>
      </c>
      <c r="C53" s="62" t="s">
        <v>35</v>
      </c>
    </row>
    <row r="54" spans="1:2" ht="17.25">
      <c r="A54" s="64"/>
      <c r="B54" s="64"/>
    </row>
    <row r="55" spans="1:2" ht="17.25">
      <c r="A55" s="64">
        <v>167558</v>
      </c>
      <c r="B55" s="65">
        <v>40952.32</v>
      </c>
    </row>
    <row r="56" spans="1:2" ht="17.25">
      <c r="A56" s="64"/>
      <c r="B56" s="64"/>
    </row>
  </sheetData>
  <sheetProtection/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R6" sqref="R6:R12"/>
    </sheetView>
  </sheetViews>
  <sheetFormatPr defaultColWidth="11.421875" defaultRowHeight="15"/>
  <cols>
    <col min="1" max="1" width="13.140625" style="1" customWidth="1"/>
    <col min="2" max="2" width="10.140625" style="1" customWidth="1"/>
    <col min="3" max="3" width="12.57421875" style="1" customWidth="1"/>
    <col min="4" max="4" width="9.140625" style="1" customWidth="1"/>
    <col min="5" max="5" width="12.140625" style="1" customWidth="1"/>
    <col min="6" max="6" width="9.421875" style="1" customWidth="1"/>
    <col min="7" max="7" width="12.140625" style="1" customWidth="1"/>
    <col min="8" max="8" width="7.7109375" style="1" customWidth="1"/>
    <col min="9" max="9" width="9.421875" style="1" customWidth="1"/>
    <col min="10" max="10" width="9.00390625" style="1" customWidth="1"/>
    <col min="11" max="11" width="10.140625" style="1" customWidth="1"/>
    <col min="12" max="12" width="9.421875" style="1" customWidth="1"/>
    <col min="13" max="13" width="10.28125" style="1" customWidth="1"/>
    <col min="14" max="14" width="9.28125" style="1" customWidth="1"/>
    <col min="15" max="15" width="12.421875" style="1" customWidth="1"/>
    <col min="16" max="16" width="13.28125" style="1" customWidth="1"/>
    <col min="17" max="17" width="13.00390625" style="1" customWidth="1"/>
    <col min="18" max="18" width="15.421875" style="1" customWidth="1"/>
    <col min="19" max="16384" width="11.421875" style="1" customWidth="1"/>
  </cols>
  <sheetData>
    <row r="1" spans="1:15" ht="18">
      <c r="A1" s="146" t="s">
        <v>0</v>
      </c>
      <c r="B1" s="165" t="s">
        <v>111</v>
      </c>
      <c r="C1" s="177"/>
      <c r="D1" s="177"/>
      <c r="E1" s="177"/>
      <c r="F1" s="178"/>
      <c r="L1" s="174" t="s">
        <v>23</v>
      </c>
      <c r="M1" s="175"/>
      <c r="N1" s="150">
        <v>41000</v>
      </c>
      <c r="O1" s="23"/>
    </row>
    <row r="2" spans="2:4" ht="4.5" customHeight="1">
      <c r="B2" s="182"/>
      <c r="C2" s="183"/>
      <c r="D2" s="183"/>
    </row>
    <row r="3" ht="17.25" thickBot="1"/>
    <row r="4" spans="1:17" ht="17.25">
      <c r="A4" s="25"/>
      <c r="B4" s="172" t="s">
        <v>1</v>
      </c>
      <c r="C4" s="173"/>
      <c r="D4" s="172" t="s">
        <v>2</v>
      </c>
      <c r="E4" s="173"/>
      <c r="F4" s="172" t="s">
        <v>3</v>
      </c>
      <c r="G4" s="173"/>
      <c r="H4" s="172" t="s">
        <v>34</v>
      </c>
      <c r="I4" s="173"/>
      <c r="J4" s="172" t="s">
        <v>32</v>
      </c>
      <c r="K4" s="173"/>
      <c r="L4" s="172" t="s">
        <v>36</v>
      </c>
      <c r="M4" s="173"/>
      <c r="N4" s="172" t="s">
        <v>33</v>
      </c>
      <c r="O4" s="173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6" t="s">
        <v>25</v>
      </c>
      <c r="Q5" s="30" t="s">
        <v>39</v>
      </c>
    </row>
    <row r="6" spans="1:18" ht="17.25">
      <c r="A6" s="31" t="s">
        <v>14</v>
      </c>
      <c r="B6" s="32">
        <v>962574</v>
      </c>
      <c r="C6" s="33">
        <f>25392.4+308572.63+6901.91+20476.85+14075.58+35594.02</f>
        <v>411013.39</v>
      </c>
      <c r="D6" s="68">
        <v>44440</v>
      </c>
      <c r="E6" s="33">
        <f>6129.99+25163.07</f>
        <v>31293.059999999998</v>
      </c>
      <c r="F6" s="68">
        <v>214620</v>
      </c>
      <c r="G6" s="33">
        <f>38556.88+114555.71</f>
        <v>153112.59</v>
      </c>
      <c r="H6" s="68">
        <v>200000</v>
      </c>
      <c r="I6" s="33">
        <v>0</v>
      </c>
      <c r="J6" s="68">
        <f>4500+800000-500000</f>
        <v>304500</v>
      </c>
      <c r="K6" s="33">
        <f>1877+5458.04</f>
        <v>7335.04</v>
      </c>
      <c r="L6" s="68">
        <v>40000</v>
      </c>
      <c r="M6" s="33">
        <v>1524.6</v>
      </c>
      <c r="N6" s="68">
        <f>500000+1000000</f>
        <v>1500000</v>
      </c>
      <c r="O6" s="33">
        <f>20542.03+442095.11</f>
        <v>462637.14</v>
      </c>
      <c r="P6" s="34">
        <f aca="true" t="shared" si="0" ref="P6:P12">+O6+M6+K6+I6+G6+E6+C6</f>
        <v>1066915.8199999998</v>
      </c>
      <c r="Q6" s="34">
        <f aca="true" t="shared" si="1" ref="Q6:Q12">+B6+D6+F6+H6+J6+L6+N6-P6</f>
        <v>2199218.18</v>
      </c>
      <c r="R6" s="5"/>
    </row>
    <row r="7" spans="1:18" ht="17.25">
      <c r="A7" s="31" t="s">
        <v>112</v>
      </c>
      <c r="B7" s="32">
        <v>2153375</v>
      </c>
      <c r="C7" s="33">
        <f>50040.2+326315.84+38154.55+88554.53+47017.73+93193.57</f>
        <v>643276.4199999999</v>
      </c>
      <c r="D7" s="68">
        <v>131148</v>
      </c>
      <c r="E7" s="33">
        <f>24591.59+16138.05</f>
        <v>40729.64</v>
      </c>
      <c r="F7" s="68">
        <v>480208</v>
      </c>
      <c r="G7" s="33">
        <f>58595.24+56039.94+13121.35+30937.04</f>
        <v>158693.57</v>
      </c>
      <c r="H7" s="68">
        <v>0</v>
      </c>
      <c r="I7" s="33">
        <v>53982</v>
      </c>
      <c r="J7" s="68">
        <v>8100</v>
      </c>
      <c r="K7" s="33">
        <v>3977.88</v>
      </c>
      <c r="L7" s="68">
        <v>64000</v>
      </c>
      <c r="M7" s="33">
        <f>-2730+11221.24</f>
        <v>8491.24</v>
      </c>
      <c r="N7" s="68">
        <v>0</v>
      </c>
      <c r="O7" s="33">
        <v>175442.82</v>
      </c>
      <c r="P7" s="34">
        <f>+O7+M7+K7+I7+G7+E7+C7</f>
        <v>1084593.5699999998</v>
      </c>
      <c r="Q7" s="34">
        <f t="shared" si="1"/>
        <v>1752237.4300000002</v>
      </c>
      <c r="R7" s="5"/>
    </row>
    <row r="8" spans="1:18" ht="17.25">
      <c r="A8" s="31" t="s">
        <v>113</v>
      </c>
      <c r="B8" s="32">
        <v>7568677</v>
      </c>
      <c r="C8" s="33">
        <f>545561.25+1776114.49</f>
        <v>2321675.74</v>
      </c>
      <c r="D8" s="68">
        <v>1451750</v>
      </c>
      <c r="E8" s="33">
        <f>435860.45+528938.38</f>
        <v>964798.8300000001</v>
      </c>
      <c r="F8" s="68">
        <v>2116478</v>
      </c>
      <c r="G8" s="33">
        <f>409993.49+853955.54</f>
        <v>1263949.03</v>
      </c>
      <c r="H8" s="68">
        <v>0</v>
      </c>
      <c r="I8" s="33">
        <v>0</v>
      </c>
      <c r="J8" s="68">
        <v>257000</v>
      </c>
      <c r="K8" s="33">
        <v>703.69</v>
      </c>
      <c r="L8" s="68">
        <v>0</v>
      </c>
      <c r="M8" s="33">
        <f>3113.64+1662.26</f>
        <v>4775.9</v>
      </c>
      <c r="N8" s="68">
        <v>0</v>
      </c>
      <c r="O8" s="33">
        <v>596237.38</v>
      </c>
      <c r="P8" s="34">
        <f t="shared" si="0"/>
        <v>5152140.57</v>
      </c>
      <c r="Q8" s="34">
        <f t="shared" si="1"/>
        <v>6241764.43</v>
      </c>
      <c r="R8" s="5"/>
    </row>
    <row r="9" spans="1:18" ht="17.25">
      <c r="A9" s="31" t="s">
        <v>40</v>
      </c>
      <c r="B9" s="32">
        <v>4641806</v>
      </c>
      <c r="C9" s="33">
        <f>306396.46+827943.44+7730.18+17226.3</f>
        <v>1159296.38</v>
      </c>
      <c r="D9" s="68">
        <v>557000</v>
      </c>
      <c r="E9" s="33">
        <f>102674.71+218810.13</f>
        <v>321484.84</v>
      </c>
      <c r="F9" s="68">
        <v>662000</v>
      </c>
      <c r="G9" s="33">
        <f>35399.92+70545.06</f>
        <v>105944.98</v>
      </c>
      <c r="H9" s="68">
        <v>0</v>
      </c>
      <c r="I9" s="33">
        <v>0</v>
      </c>
      <c r="J9" s="68">
        <v>6000</v>
      </c>
      <c r="K9" s="33">
        <v>454.14</v>
      </c>
      <c r="L9" s="68">
        <v>646000</v>
      </c>
      <c r="M9" s="33">
        <f>2757.34+267157.85</f>
        <v>269915.19</v>
      </c>
      <c r="N9" s="68">
        <v>0</v>
      </c>
      <c r="O9" s="33">
        <f>1135+236382.98</f>
        <v>237517.98</v>
      </c>
      <c r="P9" s="34">
        <f t="shared" si="0"/>
        <v>2094613.51</v>
      </c>
      <c r="Q9" s="34">
        <f t="shared" si="1"/>
        <v>4418192.49</v>
      </c>
      <c r="R9" s="5"/>
    </row>
    <row r="10" spans="1:18" ht="17.25">
      <c r="A10" s="31" t="s">
        <v>114</v>
      </c>
      <c r="B10" s="32">
        <v>164314</v>
      </c>
      <c r="C10" s="33">
        <f>14281.34+32754.67</f>
        <v>47036.009999999995</v>
      </c>
      <c r="D10" s="100">
        <v>738400</v>
      </c>
      <c r="E10" s="80">
        <f>4366.89+87198.83</f>
        <v>91565.72</v>
      </c>
      <c r="F10" s="100">
        <v>0</v>
      </c>
      <c r="G10" s="80">
        <v>9052</v>
      </c>
      <c r="H10" s="100">
        <v>0</v>
      </c>
      <c r="I10" s="80">
        <v>0</v>
      </c>
      <c r="J10" s="100">
        <v>40000</v>
      </c>
      <c r="K10" s="80">
        <v>0</v>
      </c>
      <c r="L10" s="100">
        <v>120000</v>
      </c>
      <c r="M10" s="80">
        <f>9313.45+8645.52</f>
        <v>17958.97</v>
      </c>
      <c r="N10" s="100">
        <v>0</v>
      </c>
      <c r="O10" s="80">
        <f>590+3068</f>
        <v>3658</v>
      </c>
      <c r="P10" s="34">
        <f t="shared" si="0"/>
        <v>169270.7</v>
      </c>
      <c r="Q10" s="34">
        <f t="shared" si="1"/>
        <v>893443.3</v>
      </c>
      <c r="R10" s="5"/>
    </row>
    <row r="11" spans="1:18" ht="17.25">
      <c r="A11" s="31" t="s">
        <v>115</v>
      </c>
      <c r="B11" s="32">
        <v>835186</v>
      </c>
      <c r="C11" s="33">
        <f>57996.4+208396.95</f>
        <v>266393.35000000003</v>
      </c>
      <c r="D11" s="68">
        <v>534000</v>
      </c>
      <c r="E11" s="33">
        <f>19614.63+127499.53</f>
        <v>147114.16</v>
      </c>
      <c r="F11" s="68">
        <f>3351600-500000</f>
        <v>2851600</v>
      </c>
      <c r="G11" s="33">
        <f>542648.4+869339.68</f>
        <v>1411988.08</v>
      </c>
      <c r="H11" s="100">
        <v>0</v>
      </c>
      <c r="I11" s="33">
        <v>0</v>
      </c>
      <c r="J11" s="100">
        <v>0</v>
      </c>
      <c r="K11" s="33">
        <v>0</v>
      </c>
      <c r="L11" s="100">
        <v>0</v>
      </c>
      <c r="M11" s="33">
        <v>506.8</v>
      </c>
      <c r="N11" s="100">
        <v>0</v>
      </c>
      <c r="O11" s="33">
        <v>211416.43</v>
      </c>
      <c r="P11" s="34">
        <f t="shared" si="0"/>
        <v>2037418.82</v>
      </c>
      <c r="Q11" s="34">
        <f t="shared" si="1"/>
        <v>2183367.1799999997</v>
      </c>
      <c r="R11" s="5"/>
    </row>
    <row r="12" spans="1:18" ht="17.25">
      <c r="A12" s="31" t="s">
        <v>79</v>
      </c>
      <c r="B12" s="32">
        <v>6178771</v>
      </c>
      <c r="C12" s="33">
        <f>522373.03+1345390.22+42502.65+101391.92+6732.39+19772.8+2243.87+7147.08</f>
        <v>2047553.96</v>
      </c>
      <c r="D12" s="68">
        <v>364800</v>
      </c>
      <c r="E12" s="33">
        <f>17957.8+93879</f>
        <v>111836.8</v>
      </c>
      <c r="F12" s="68">
        <v>567520</v>
      </c>
      <c r="G12" s="33">
        <f>49793.95+232568.08-1700+3400</f>
        <v>284062.02999999997</v>
      </c>
      <c r="H12" s="68">
        <v>2000</v>
      </c>
      <c r="I12" s="33">
        <v>1050</v>
      </c>
      <c r="J12" s="68">
        <v>168000</v>
      </c>
      <c r="K12" s="33">
        <f>8220.75+10979.36</f>
        <v>19200.11</v>
      </c>
      <c r="L12" s="68">
        <v>220000</v>
      </c>
      <c r="M12" s="33">
        <f>19275.48+199468.28</f>
        <v>218743.76</v>
      </c>
      <c r="N12" s="68">
        <v>0</v>
      </c>
      <c r="O12" s="33">
        <f>3000+351516.95</f>
        <v>354516.95</v>
      </c>
      <c r="P12" s="34">
        <f t="shared" si="0"/>
        <v>3036963.61</v>
      </c>
      <c r="Q12" s="34">
        <f t="shared" si="1"/>
        <v>4464127.390000001</v>
      </c>
      <c r="R12" s="5"/>
    </row>
    <row r="13" spans="1:18" ht="18" thickBot="1">
      <c r="A13" s="38" t="s">
        <v>11</v>
      </c>
      <c r="B13" s="39">
        <f aca="true" t="shared" si="2" ref="B13:Q13">SUM(B6:B12)</f>
        <v>22504703</v>
      </c>
      <c r="C13" s="40">
        <f t="shared" si="2"/>
        <v>6896245.249999999</v>
      </c>
      <c r="D13" s="39">
        <f t="shared" si="2"/>
        <v>3821538</v>
      </c>
      <c r="E13" s="40">
        <f t="shared" si="2"/>
        <v>1708823.05</v>
      </c>
      <c r="F13" s="39">
        <f t="shared" si="2"/>
        <v>6892426</v>
      </c>
      <c r="G13" s="40">
        <f t="shared" si="2"/>
        <v>3386802.28</v>
      </c>
      <c r="H13" s="39">
        <f t="shared" si="2"/>
        <v>202000</v>
      </c>
      <c r="I13" s="40">
        <f t="shared" si="2"/>
        <v>55032</v>
      </c>
      <c r="J13" s="39">
        <f t="shared" si="2"/>
        <v>783600</v>
      </c>
      <c r="K13" s="40">
        <f t="shared" si="2"/>
        <v>31670.86</v>
      </c>
      <c r="L13" s="39">
        <f t="shared" si="2"/>
        <v>1090000</v>
      </c>
      <c r="M13" s="40">
        <f t="shared" si="2"/>
        <v>521916.46</v>
      </c>
      <c r="N13" s="39">
        <f t="shared" si="2"/>
        <v>1500000</v>
      </c>
      <c r="O13" s="40">
        <f t="shared" si="2"/>
        <v>2041426.6999999997</v>
      </c>
      <c r="P13" s="42">
        <f t="shared" si="2"/>
        <v>14641916.6</v>
      </c>
      <c r="Q13" s="42">
        <f t="shared" si="2"/>
        <v>22152350.4</v>
      </c>
      <c r="R13" s="5"/>
    </row>
    <row r="14" spans="1:17" ht="17.25" thickBot="1">
      <c r="A14" s="38" t="s">
        <v>30</v>
      </c>
      <c r="B14" s="88"/>
      <c r="C14" s="93">
        <f>+C13/B13</f>
        <v>0.3064357370101707</v>
      </c>
      <c r="D14" s="93"/>
      <c r="E14" s="93">
        <f>+E13/D13</f>
        <v>0.4471558440606897</v>
      </c>
      <c r="F14" s="93"/>
      <c r="G14" s="93">
        <f>+G13/F13</f>
        <v>0.49138028903030656</v>
      </c>
      <c r="H14" s="93"/>
      <c r="I14" s="93">
        <f>+I13/H13</f>
        <v>0.27243564356435646</v>
      </c>
      <c r="J14" s="93"/>
      <c r="K14" s="93">
        <f>+K13/J13</f>
        <v>0.04041712608473711</v>
      </c>
      <c r="L14" s="148"/>
      <c r="M14" s="147">
        <f>+M13/L13</f>
        <v>0.4788224403669725</v>
      </c>
      <c r="N14" s="45"/>
      <c r="O14" s="141">
        <f>+O13/N13</f>
        <v>1.360951133333333</v>
      </c>
      <c r="P14" s="58"/>
      <c r="Q14" s="5"/>
    </row>
    <row r="15" spans="1:17" ht="16.5">
      <c r="A15" s="49"/>
      <c r="B15" s="4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140"/>
      <c r="Q15" s="5"/>
    </row>
    <row r="16" spans="16:17" ht="16.5">
      <c r="P16" s="158"/>
      <c r="Q16" s="5"/>
    </row>
    <row r="33" ht="16.5">
      <c r="J33" s="61"/>
    </row>
    <row r="38" spans="1:6" ht="16.5">
      <c r="A38" s="53"/>
      <c r="B38" s="53"/>
      <c r="C38" s="53"/>
      <c r="D38" s="53"/>
      <c r="E38" s="53"/>
      <c r="F38" s="53"/>
    </row>
    <row r="40" spans="3:6" ht="16.5">
      <c r="C40" s="52"/>
      <c r="D40" s="5"/>
      <c r="E40" s="53"/>
      <c r="F40" s="53"/>
    </row>
    <row r="41" spans="3:6" ht="16.5">
      <c r="C41" s="52"/>
      <c r="D41" s="5"/>
      <c r="E41" s="53"/>
      <c r="F41" s="53"/>
    </row>
    <row r="42" spans="3:6" ht="16.5">
      <c r="C42" s="52"/>
      <c r="D42" s="5"/>
      <c r="E42" s="53"/>
      <c r="F42" s="53"/>
    </row>
    <row r="43" spans="1:6" ht="16.5">
      <c r="A43" s="78"/>
      <c r="C43" s="52"/>
      <c r="D43" s="5"/>
      <c r="E43" s="53"/>
      <c r="F43" s="53"/>
    </row>
    <row r="44" spans="3:6" ht="16.5">
      <c r="C44" s="52"/>
      <c r="D44" s="5"/>
      <c r="E44" s="53"/>
      <c r="F44" s="53"/>
    </row>
    <row r="45" spans="3:6" ht="16.5">
      <c r="C45" s="52"/>
      <c r="D45" s="5"/>
      <c r="E45" s="53"/>
      <c r="F45" s="53"/>
    </row>
    <row r="46" spans="3:6" ht="16.5">
      <c r="C46" s="52"/>
      <c r="D46" s="5"/>
      <c r="E46" s="53"/>
      <c r="F46" s="53"/>
    </row>
    <row r="47" ht="16.5">
      <c r="C47" s="48"/>
    </row>
    <row r="49" spans="1:4" ht="16.5">
      <c r="A49" s="62" t="s">
        <v>26</v>
      </c>
      <c r="B49" s="71" t="s">
        <v>27</v>
      </c>
      <c r="C49" s="62" t="s">
        <v>28</v>
      </c>
      <c r="D49" s="62"/>
    </row>
    <row r="50" spans="1:3" ht="17.25">
      <c r="A50" s="64">
        <f>+B13</f>
        <v>22504703</v>
      </c>
      <c r="B50" s="65">
        <f>+C13</f>
        <v>6896245.249999999</v>
      </c>
      <c r="C50" s="62" t="s">
        <v>1</v>
      </c>
    </row>
    <row r="51" spans="1:3" ht="17.25">
      <c r="A51" s="64">
        <f>+D13</f>
        <v>3821538</v>
      </c>
      <c r="B51" s="65">
        <f>+E13</f>
        <v>1708823.05</v>
      </c>
      <c r="C51" s="62" t="s">
        <v>2</v>
      </c>
    </row>
    <row r="52" spans="1:3" ht="17.25">
      <c r="A52" s="64">
        <f>+F13</f>
        <v>6892426</v>
      </c>
      <c r="B52" s="65">
        <f>+G13</f>
        <v>3386802.28</v>
      </c>
      <c r="C52" s="62" t="s">
        <v>3</v>
      </c>
    </row>
    <row r="53" spans="1:3" ht="17.25">
      <c r="A53" s="66">
        <f>+H13</f>
        <v>202000</v>
      </c>
      <c r="B53" s="65">
        <f>+I13</f>
        <v>55032</v>
      </c>
      <c r="C53" s="62" t="s">
        <v>34</v>
      </c>
    </row>
    <row r="54" spans="1:3" ht="17.25">
      <c r="A54" s="66">
        <f>+J13</f>
        <v>783600</v>
      </c>
      <c r="B54" s="65">
        <f>+K13</f>
        <v>31670.86</v>
      </c>
      <c r="C54" s="62" t="s">
        <v>32</v>
      </c>
    </row>
    <row r="55" spans="1:3" ht="17.25">
      <c r="A55" s="64">
        <f>+L13</f>
        <v>1090000</v>
      </c>
      <c r="B55" s="65">
        <f>+M13</f>
        <v>521916.46</v>
      </c>
      <c r="C55" s="62" t="s">
        <v>29</v>
      </c>
    </row>
    <row r="56" spans="1:3" ht="17.25">
      <c r="A56" s="64">
        <f>+N13</f>
        <v>1500000</v>
      </c>
      <c r="B56" s="65">
        <f>+O13</f>
        <v>2041426.6999999997</v>
      </c>
      <c r="C56" s="62" t="s">
        <v>35</v>
      </c>
    </row>
    <row r="57" spans="1:2" ht="17.25">
      <c r="A57" s="64"/>
      <c r="B57" s="64"/>
    </row>
    <row r="58" spans="1:2" ht="17.25">
      <c r="A58" s="64">
        <v>4568329</v>
      </c>
      <c r="B58" s="65">
        <v>1360852.79</v>
      </c>
    </row>
  </sheetData>
  <sheetProtection/>
  <mergeCells count="10">
    <mergeCell ref="L1:M1"/>
    <mergeCell ref="B1:F1"/>
    <mergeCell ref="N4:O4"/>
    <mergeCell ref="B4:C4"/>
    <mergeCell ref="D4:E4"/>
    <mergeCell ref="F4:G4"/>
    <mergeCell ref="H4:I4"/>
    <mergeCell ref="B2:D2"/>
    <mergeCell ref="J4:K4"/>
    <mergeCell ref="L4:M4"/>
  </mergeCells>
  <printOptions/>
  <pageMargins left="0.38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contaduria-219</cp:lastModifiedBy>
  <cp:lastPrinted>2012-08-06T16:33:11Z</cp:lastPrinted>
  <dcterms:created xsi:type="dcterms:W3CDTF">2000-04-26T12:06:38Z</dcterms:created>
  <dcterms:modified xsi:type="dcterms:W3CDTF">2013-04-29T14:58:56Z</dcterms:modified>
  <cp:category/>
  <cp:version/>
  <cp:contentType/>
  <cp:contentStatus/>
</cp:coreProperties>
</file>