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1745" windowHeight="6690" tabRatio="603" firstSheet="1" activeTab="10"/>
  </bookViews>
  <sheets>
    <sheet name="INT" sheetId="1" r:id="rId1"/>
    <sheet name="GOB" sheetId="2" r:id="rId2"/>
    <sheet name="SEH" sheetId="3" r:id="rId3"/>
    <sheet name="SAS" sheetId="4" r:id="rId4"/>
    <sheet name="SOP" sheetId="5" r:id="rId5"/>
    <sheet name="SFOI" sheetId="6" r:id="rId6"/>
    <sheet name="CD" sheetId="7" r:id="rId7"/>
    <sheet name="CM" sheetId="8" r:id="rId8"/>
    <sheet name="SSP" sheetId="9" r:id="rId9"/>
    <sheet name="CULTURA" sheetId="10" r:id="rId10"/>
    <sheet name="DEPORTES" sheetId="11" r:id="rId11"/>
    <sheet name="GENERAL I" sheetId="12" r:id="rId12"/>
  </sheets>
  <definedNames/>
  <calcPr fullCalcOnLoad="1"/>
</workbook>
</file>

<file path=xl/sharedStrings.xml><?xml version="1.0" encoding="utf-8"?>
<sst xmlns="http://schemas.openxmlformats.org/spreadsheetml/2006/main" count="547" uniqueCount="132">
  <si>
    <t>AREA:</t>
  </si>
  <si>
    <t>PERSONAL</t>
  </si>
  <si>
    <t>CONSUMO</t>
  </si>
  <si>
    <t>SERVICIOS</t>
  </si>
  <si>
    <t>TRANS.CTES.</t>
  </si>
  <si>
    <t>TOTAL</t>
  </si>
  <si>
    <t>Dir.Hacienda</t>
  </si>
  <si>
    <t>Dir.Informática</t>
  </si>
  <si>
    <t>Dir.Suministros</t>
  </si>
  <si>
    <t>Tesorería</t>
  </si>
  <si>
    <t>Contaduría</t>
  </si>
  <si>
    <t>TOTALES</t>
  </si>
  <si>
    <t>Dir.Arquitectura</t>
  </si>
  <si>
    <t>Dir.Des.Urbano</t>
  </si>
  <si>
    <t>Secretaría</t>
  </si>
  <si>
    <t>Intendencia</t>
  </si>
  <si>
    <t>Sec.Gobierno</t>
  </si>
  <si>
    <t>Sec.Econ.y Hacienda</t>
  </si>
  <si>
    <t>Sec.Obras Públicas</t>
  </si>
  <si>
    <t>Sec.Servicios Públicos</t>
  </si>
  <si>
    <t>Sec.Acción Social</t>
  </si>
  <si>
    <t>Concejo Deliberante</t>
  </si>
  <si>
    <t>Contraloría Municipal</t>
  </si>
  <si>
    <t>ACUMULADO A:</t>
  </si>
  <si>
    <t>SALDO</t>
  </si>
  <si>
    <t>EJECUTADO</t>
  </si>
  <si>
    <t>PRESUPUESTO</t>
  </si>
  <si>
    <t>EJECUCION</t>
  </si>
  <si>
    <t>RUBRO</t>
  </si>
  <si>
    <t>TRAB.PUBL.</t>
  </si>
  <si>
    <t>% EJECUTADO</t>
  </si>
  <si>
    <t>crédito</t>
  </si>
  <si>
    <t>BS.CAP.+BS.PREEX.</t>
  </si>
  <si>
    <t>AMORTIZ.DEUDA</t>
  </si>
  <si>
    <t>TRANSF.CTES.</t>
  </si>
  <si>
    <t>AMORT.DDA.</t>
  </si>
  <si>
    <t>TRABAJOS PUBLICOS</t>
  </si>
  <si>
    <t>ejecución</t>
  </si>
  <si>
    <t>SDO. CTO.</t>
  </si>
  <si>
    <t>PPTO.</t>
  </si>
  <si>
    <t xml:space="preserve">Dir.Talleres </t>
  </si>
  <si>
    <t>EJECUCION PRESUPUESTARIA POR AREAS</t>
  </si>
  <si>
    <t>Datos al:</t>
  </si>
  <si>
    <t>AREA</t>
  </si>
  <si>
    <t xml:space="preserve">CREDITO </t>
  </si>
  <si>
    <t xml:space="preserve">% </t>
  </si>
  <si>
    <t xml:space="preserve">EJECUCION DEL GASTO (valores acumulados) </t>
  </si>
  <si>
    <t>POR  AREA</t>
  </si>
  <si>
    <t>ejecutado</t>
  </si>
  <si>
    <t>BS.CAP+PREEX.</t>
  </si>
  <si>
    <t>CTO.PTO.</t>
  </si>
  <si>
    <t>% ejecutado por rubros</t>
  </si>
  <si>
    <t>Referencias:</t>
  </si>
  <si>
    <t>sdo.cto.pto.</t>
  </si>
  <si>
    <t>amort.dda.</t>
  </si>
  <si>
    <t>trab.públ.</t>
  </si>
  <si>
    <t>bs.cap+preex.</t>
  </si>
  <si>
    <t>transf.ctes.</t>
  </si>
  <si>
    <t>servicios</t>
  </si>
  <si>
    <t>consumo</t>
  </si>
  <si>
    <t>personal</t>
  </si>
  <si>
    <t>trans.</t>
  </si>
  <si>
    <t>bs.cap+preex</t>
  </si>
  <si>
    <t>trab.publ</t>
  </si>
  <si>
    <t>sdo.cto.</t>
  </si>
  <si>
    <t>total</t>
  </si>
  <si>
    <t>INT</t>
  </si>
  <si>
    <t>GOB</t>
  </si>
  <si>
    <t>SEH</t>
  </si>
  <si>
    <t>SOP</t>
  </si>
  <si>
    <t>SSP</t>
  </si>
  <si>
    <t>SAS</t>
  </si>
  <si>
    <t>CD</t>
  </si>
  <si>
    <t>CM</t>
  </si>
  <si>
    <t>Dir.Admin.y Técnica</t>
  </si>
  <si>
    <t>Dir.Administrativa</t>
  </si>
  <si>
    <t>Dir.Desarrollo Social</t>
  </si>
  <si>
    <t>Dir.Com.Institucional</t>
  </si>
  <si>
    <t>Dir.Protección Civil</t>
  </si>
  <si>
    <t>Dir.Planeam.</t>
  </si>
  <si>
    <t>Dir.Obr.Infraest.</t>
  </si>
  <si>
    <t>BS.CAP+BS.PREEX.</t>
  </si>
  <si>
    <t>Dir.Prom.Comunitaria</t>
  </si>
  <si>
    <t>Dir.Gral.Adm.L.yT.</t>
  </si>
  <si>
    <t>Dir.Asunt.Cont.yDict.</t>
  </si>
  <si>
    <t xml:space="preserve"> </t>
  </si>
  <si>
    <t>Sec.Fisc.y Org.Interna</t>
  </si>
  <si>
    <t xml:space="preserve">                 TRAB.PUBLICOS</t>
  </si>
  <si>
    <t>Dir.Rec.Humanos</t>
  </si>
  <si>
    <t>Dir.Comerc.y Bromat.</t>
  </si>
  <si>
    <t>Dir.Tráns.y Transp.</t>
  </si>
  <si>
    <t>Privada</t>
  </si>
  <si>
    <t xml:space="preserve">                    TRANSF. CTES.</t>
  </si>
  <si>
    <t>CULT.</t>
  </si>
  <si>
    <t>DEP.</t>
  </si>
  <si>
    <t>TRAB.PUBLICOS</t>
  </si>
  <si>
    <t>Presidencia</t>
  </si>
  <si>
    <t>SFOI</t>
  </si>
  <si>
    <t>Unid.Des.Económico</t>
  </si>
  <si>
    <t>Asesoria en Seg.</t>
  </si>
  <si>
    <t>TRAB. PÚBLICOS</t>
  </si>
  <si>
    <t>Dir.Recaudaciones</t>
  </si>
  <si>
    <t>TRAB. PUBLICOS</t>
  </si>
  <si>
    <t>INTENDENCIA  MUNICIPAL</t>
  </si>
  <si>
    <t>SECRETARIA DE  GOBIERNO</t>
  </si>
  <si>
    <t>Juzgado de Faltas</t>
  </si>
  <si>
    <t>SECRETARIA DE ACCIÓN  SOCIAL</t>
  </si>
  <si>
    <t>SECRETARIA DE OBRAS  PÚBLICAS</t>
  </si>
  <si>
    <t>SECRETARIA DE FISCALIZACIÓN Y  ORGANIZACIÓN  INTERNA</t>
  </si>
  <si>
    <t>CONCEJO  DELIBERANTE</t>
  </si>
  <si>
    <t>CONTRALORIA  MUNICIPAL</t>
  </si>
  <si>
    <t>SECRETARIA DE SERVICIOS  PÚBLICOS</t>
  </si>
  <si>
    <t>Dir.Scios.Grales.</t>
  </si>
  <si>
    <t>Dpto. Talleres</t>
  </si>
  <si>
    <t>Dpto.Riego</t>
  </si>
  <si>
    <t>DIRECCIÓN   GENERAL  DE  CULTURA</t>
  </si>
  <si>
    <t>DIRECCIÓN   GENERAL  DE  DEPORTES</t>
  </si>
  <si>
    <t>Dir.Gral. de Cultura</t>
  </si>
  <si>
    <t>Dir.Gral. de Deportes</t>
  </si>
  <si>
    <t>Dir. Desarrollo Social</t>
  </si>
  <si>
    <t>Dirección</t>
  </si>
  <si>
    <t>Coord.Téc.Act.Fisicas y Rec.</t>
  </si>
  <si>
    <t>Coord.Téc.Deport.y Eventos</t>
  </si>
  <si>
    <t>SECRETARIA DE  ECONOMÍA Y  HACIENDA</t>
  </si>
  <si>
    <t>Area Juntas Vecinales</t>
  </si>
  <si>
    <t>Deleg.Mpal.Balsa Las Perlas</t>
  </si>
  <si>
    <t>Unidad Gestión Margen Sur</t>
  </si>
  <si>
    <t>Dir.Proyectos Urbanisticos</t>
  </si>
  <si>
    <t>Dpto. Tercera Edad</t>
  </si>
  <si>
    <t>Bloque Frente p/La Victoria</t>
  </si>
  <si>
    <t xml:space="preserve">                                                  </t>
  </si>
  <si>
    <t>Dpto.San.Hig.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</si>
</sst>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000000"/>
    <numFmt numFmtId="175" formatCode="0.00000000"/>
    <numFmt numFmtId="176" formatCode="#,##0.000"/>
    <numFmt numFmtId="177" formatCode="#,##0.0000"/>
    <numFmt numFmtId="178" formatCode="#,##0.00000"/>
    <numFmt numFmtId="179" formatCode="0.0000%"/>
    <numFmt numFmtId="180" formatCode="0.000%"/>
    <numFmt numFmtId="181" formatCode="0.0%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_);\(0\)"/>
    <numFmt numFmtId="188" formatCode="&quot;$&quot;\ #,##0"/>
    <numFmt numFmtId="189" formatCode="0.00000%"/>
    <numFmt numFmtId="190" formatCode="0.000000%"/>
  </numFmts>
  <fonts count="97">
    <font>
      <sz val="11"/>
      <name val="Garamond"/>
      <family val="0"/>
    </font>
    <font>
      <sz val="8"/>
      <name val="Garamond"/>
      <family val="0"/>
    </font>
    <font>
      <b/>
      <sz val="9"/>
      <name val="Trebuchet MS"/>
      <family val="2"/>
    </font>
    <font>
      <b/>
      <sz val="8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11"/>
      <color indexed="9"/>
      <name val="Trebuchet MS"/>
      <family val="2"/>
    </font>
    <font>
      <sz val="11"/>
      <color indexed="21"/>
      <name val="Trebuchet MS"/>
      <family val="2"/>
    </font>
    <font>
      <sz val="11"/>
      <color indexed="10"/>
      <name val="Trebuchet MS"/>
      <family val="2"/>
    </font>
    <font>
      <b/>
      <sz val="11"/>
      <color indexed="10"/>
      <name val="Trebuchet MS"/>
      <family val="2"/>
    </font>
    <font>
      <b/>
      <sz val="11"/>
      <color indexed="2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sz val="11"/>
      <color indexed="44"/>
      <name val="Trebuchet MS"/>
      <family val="2"/>
    </font>
    <font>
      <sz val="6"/>
      <name val="Trebuchet MS"/>
      <family val="2"/>
    </font>
    <font>
      <sz val="11"/>
      <color indexed="9"/>
      <name val="Trebuchet MS"/>
      <family val="2"/>
    </font>
    <font>
      <sz val="11"/>
      <color indexed="12"/>
      <name val="Trebuchet MS"/>
      <family val="2"/>
    </font>
    <font>
      <b/>
      <sz val="11"/>
      <color indexed="12"/>
      <name val="Trebuchet MS"/>
      <family val="2"/>
    </font>
    <font>
      <b/>
      <sz val="11"/>
      <name val="Trebuchet MS"/>
      <family val="2"/>
    </font>
    <font>
      <b/>
      <i/>
      <sz val="11"/>
      <color indexed="5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2"/>
      <color indexed="56"/>
      <name val="Trebuchet MS"/>
      <family val="2"/>
    </font>
    <font>
      <b/>
      <sz val="11"/>
      <color indexed="20"/>
      <name val="Trebuchet MS"/>
      <family val="2"/>
    </font>
    <font>
      <b/>
      <sz val="11"/>
      <color indexed="30"/>
      <name val="Trebuchet MS"/>
      <family val="2"/>
    </font>
    <font>
      <b/>
      <i/>
      <sz val="12"/>
      <color indexed="18"/>
      <name val="Trebuchet MS"/>
      <family val="2"/>
    </font>
    <font>
      <b/>
      <sz val="12"/>
      <color indexed="18"/>
      <name val="Garamond"/>
      <family val="1"/>
    </font>
    <font>
      <sz val="12"/>
      <color indexed="18"/>
      <name val="Garamond"/>
      <family val="1"/>
    </font>
    <font>
      <sz val="11"/>
      <color indexed="18"/>
      <name val="Garamond"/>
      <family val="1"/>
    </font>
    <font>
      <b/>
      <sz val="10.5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.5"/>
      <color indexed="8"/>
      <name val="Garamond"/>
      <family val="0"/>
    </font>
    <font>
      <b/>
      <sz val="4.75"/>
      <color indexed="8"/>
      <name val="Trebuchet MS"/>
      <family val="0"/>
    </font>
    <font>
      <b/>
      <sz val="6"/>
      <color indexed="8"/>
      <name val="Trebuchet MS"/>
      <family val="0"/>
    </font>
    <font>
      <b/>
      <i/>
      <u val="single"/>
      <sz val="12"/>
      <color indexed="8"/>
      <name val="Trebuchet MS"/>
      <family val="0"/>
    </font>
    <font>
      <b/>
      <i/>
      <sz val="7.35"/>
      <color indexed="8"/>
      <name val="Trebuchet MS"/>
      <family val="0"/>
    </font>
    <font>
      <sz val="19"/>
      <color indexed="8"/>
      <name val="Garamond"/>
      <family val="0"/>
    </font>
    <font>
      <b/>
      <sz val="3.75"/>
      <color indexed="8"/>
      <name val="Trebuchet MS"/>
      <family val="0"/>
    </font>
    <font>
      <b/>
      <i/>
      <u val="single"/>
      <sz val="10.5"/>
      <color indexed="8"/>
      <name val="Trebuchet MS"/>
      <family val="0"/>
    </font>
    <font>
      <b/>
      <i/>
      <sz val="8.25"/>
      <color indexed="8"/>
      <name val="Trebuchet MS"/>
      <family val="0"/>
    </font>
    <font>
      <sz val="18.25"/>
      <color indexed="8"/>
      <name val="Garamond"/>
      <family val="0"/>
    </font>
    <font>
      <b/>
      <sz val="5"/>
      <color indexed="8"/>
      <name val="Trebuchet MS"/>
      <family val="0"/>
    </font>
    <font>
      <b/>
      <sz val="6.25"/>
      <color indexed="8"/>
      <name val="Trebuchet MS"/>
      <family val="0"/>
    </font>
    <font>
      <b/>
      <i/>
      <u val="single"/>
      <sz val="11"/>
      <color indexed="8"/>
      <name val="Trebuchet MS"/>
      <family val="0"/>
    </font>
    <font>
      <sz val="20.75"/>
      <color indexed="8"/>
      <name val="Garamond"/>
      <family val="0"/>
    </font>
    <font>
      <b/>
      <sz val="4.25"/>
      <color indexed="8"/>
      <name val="Trebuchet MS"/>
      <family val="0"/>
    </font>
    <font>
      <b/>
      <sz val="6.5"/>
      <color indexed="8"/>
      <name val="Trebuchet MS"/>
      <family val="0"/>
    </font>
    <font>
      <sz val="19.25"/>
      <color indexed="8"/>
      <name val="Garamond"/>
      <family val="0"/>
    </font>
    <font>
      <b/>
      <i/>
      <u val="single"/>
      <sz val="10.25"/>
      <color indexed="8"/>
      <name val="Trebuchet MS"/>
      <family val="0"/>
    </font>
    <font>
      <sz val="18.75"/>
      <color indexed="8"/>
      <name val="Garamond"/>
      <family val="0"/>
    </font>
    <font>
      <b/>
      <i/>
      <u val="single"/>
      <sz val="11.75"/>
      <color indexed="8"/>
      <name val="Trebuchet MS"/>
      <family val="0"/>
    </font>
    <font>
      <b/>
      <sz val="5.25"/>
      <color indexed="8"/>
      <name val="Trebuchet MS"/>
      <family val="0"/>
    </font>
    <font>
      <b/>
      <i/>
      <u val="single"/>
      <sz val="9.75"/>
      <color indexed="8"/>
      <name val="Trebuchet MS"/>
      <family val="0"/>
    </font>
    <font>
      <sz val="21.5"/>
      <color indexed="8"/>
      <name val="Garamond"/>
      <family val="0"/>
    </font>
    <font>
      <b/>
      <sz val="5.75"/>
      <color indexed="8"/>
      <name val="Trebuchet MS"/>
      <family val="0"/>
    </font>
    <font>
      <sz val="21.75"/>
      <color indexed="8"/>
      <name val="Garamond"/>
      <family val="0"/>
    </font>
    <font>
      <b/>
      <sz val="4.5"/>
      <color indexed="8"/>
      <name val="Trebuchet MS"/>
      <family val="0"/>
    </font>
    <font>
      <b/>
      <i/>
      <u val="single"/>
      <sz val="11.25"/>
      <color indexed="8"/>
      <name val="Trebuchet MS"/>
      <family val="0"/>
    </font>
    <font>
      <sz val="21"/>
      <color indexed="8"/>
      <name val="Garamond"/>
      <family val="0"/>
    </font>
    <font>
      <b/>
      <i/>
      <sz val="8"/>
      <color indexed="8"/>
      <name val="Trebuchet MS"/>
      <family val="0"/>
    </font>
    <font>
      <b/>
      <sz val="8"/>
      <color indexed="8"/>
      <name val="Trebuchet MS"/>
      <family val="0"/>
    </font>
    <font>
      <b/>
      <u val="single"/>
      <sz val="11"/>
      <color indexed="8"/>
      <name val="Garamo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thin"/>
      <bottom style="double"/>
    </border>
    <border>
      <left style="hair"/>
      <right style="hair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double"/>
      <right style="hair"/>
      <top>
        <color indexed="63"/>
      </top>
      <bottom style="double"/>
    </border>
    <border>
      <left style="double"/>
      <right style="hair"/>
      <top style="thin"/>
      <bottom style="thin"/>
    </border>
    <border>
      <left style="hair"/>
      <right style="double"/>
      <top style="thin"/>
      <bottom style="thin"/>
    </border>
    <border>
      <left style="slantDashDot"/>
      <right style="dotted"/>
      <top style="slantDashDot"/>
      <bottom>
        <color indexed="63"/>
      </bottom>
    </border>
    <border>
      <left style="dotted"/>
      <right style="slantDashDot"/>
      <top style="slantDashDot"/>
      <bottom>
        <color indexed="63"/>
      </bottom>
    </border>
    <border>
      <left style="slantDashDot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slantDashDot"/>
      <top>
        <color indexed="63"/>
      </top>
      <bottom style="thin"/>
    </border>
    <border>
      <left style="slantDashDot"/>
      <right style="slantDashDot"/>
      <top>
        <color indexed="63"/>
      </top>
      <bottom style="thin"/>
    </border>
    <border>
      <left style="slantDashDot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slantDashDot"/>
      <top>
        <color indexed="63"/>
      </top>
      <bottom>
        <color indexed="63"/>
      </bottom>
    </border>
    <border>
      <left style="slantDashDot"/>
      <right style="dotted"/>
      <top style="thin"/>
      <bottom style="slantDashDot"/>
    </border>
    <border>
      <left>
        <color indexed="63"/>
      </left>
      <right style="dotted"/>
      <top style="thin"/>
      <bottom style="slantDashDot"/>
    </border>
    <border>
      <left style="dotted"/>
      <right style="dotted"/>
      <top style="thin"/>
      <bottom style="slantDashDot"/>
    </border>
    <border>
      <left style="dotted"/>
      <right style="slantDashDot"/>
      <top style="thin"/>
      <bottom style="slantDashDot"/>
    </border>
    <border>
      <left style="slantDashDot"/>
      <right style="dotted"/>
      <top style="slantDashDot"/>
      <bottom style="slantDashDot"/>
    </border>
    <border>
      <left>
        <color indexed="63"/>
      </left>
      <right style="dotted"/>
      <top style="slantDashDot"/>
      <bottom style="slantDashDot"/>
    </border>
    <border>
      <left style="dotted"/>
      <right style="dotted"/>
      <top style="slantDashDot"/>
      <bottom style="slantDashDot"/>
    </border>
    <border>
      <left style="dotted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tted"/>
      <right>
        <color indexed="63"/>
      </right>
      <top style="thin"/>
      <bottom style="slantDashDot"/>
    </border>
    <border>
      <left style="dotted"/>
      <right>
        <color indexed="63"/>
      </right>
      <top>
        <color indexed="63"/>
      </top>
      <bottom style="slantDashDot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tted"/>
      <top style="double"/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dotted"/>
      <right style="double"/>
      <top style="double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thin"/>
      <bottom style="double"/>
    </border>
    <border>
      <left>
        <color indexed="63"/>
      </left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dotted"/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tted"/>
      <top style="thin"/>
      <bottom style="double"/>
    </border>
    <border>
      <left style="double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tted"/>
      <right style="slantDashDot"/>
      <top style="slantDashDot"/>
      <bottom style="slantDashDot"/>
    </border>
    <border>
      <left style="dotted"/>
      <right style="dotted"/>
      <top style="double"/>
      <bottom style="double"/>
    </border>
    <border>
      <left style="dotted"/>
      <right>
        <color indexed="63"/>
      </right>
      <top style="double"/>
      <bottom style="double"/>
    </border>
    <border>
      <left style="dotted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 style="slantDashDot"/>
    </border>
    <border>
      <left style="slantDashDot"/>
      <right style="slantDashDot"/>
      <top style="thin"/>
      <bottom style="slantDashDot"/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thin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dotted"/>
      <right>
        <color indexed="63"/>
      </right>
      <top style="slantDashDot"/>
      <bottom>
        <color indexed="63"/>
      </bottom>
    </border>
    <border>
      <left>
        <color indexed="63"/>
      </left>
      <right style="dotted"/>
      <top style="slantDashDot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20" borderId="0" applyNumberFormat="0" applyBorder="0" applyAlignment="0" applyProtection="0"/>
    <xf numFmtId="0" fontId="83" fillId="21" borderId="1" applyNumberFormat="0" applyAlignment="0" applyProtection="0"/>
    <xf numFmtId="0" fontId="84" fillId="22" borderId="2" applyNumberFormat="0" applyAlignment="0" applyProtection="0"/>
    <xf numFmtId="0" fontId="85" fillId="0" borderId="3" applyNumberFormat="0" applyFill="0" applyAlignment="0" applyProtection="0"/>
    <xf numFmtId="0" fontId="86" fillId="0" borderId="0" applyNumberFormat="0" applyFill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7" fillId="29" borderId="1" applyNumberFormat="0" applyAlignment="0" applyProtection="0"/>
    <xf numFmtId="0" fontId="8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0" fillId="21" borderId="5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86" fillId="0" borderId="8" applyNumberFormat="0" applyFill="0" applyAlignment="0" applyProtection="0"/>
    <xf numFmtId="0" fontId="96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4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9" fontId="4" fillId="0" borderId="0" xfId="0" applyNumberFormat="1" applyFont="1" applyAlignment="1">
      <alignment/>
    </xf>
    <xf numFmtId="4" fontId="2" fillId="0" borderId="17" xfId="0" applyNumberFormat="1" applyFont="1" applyBorder="1" applyAlignment="1">
      <alignment/>
    </xf>
    <xf numFmtId="10" fontId="2" fillId="0" borderId="17" xfId="0" applyNumberFormat="1" applyFont="1" applyBorder="1" applyAlignment="1">
      <alignment/>
    </xf>
    <xf numFmtId="10" fontId="2" fillId="0" borderId="18" xfId="0" applyNumberFormat="1" applyFont="1" applyBorder="1" applyAlignment="1">
      <alignment/>
    </xf>
    <xf numFmtId="10" fontId="2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" fontId="2" fillId="0" borderId="22" xfId="0" applyNumberFormat="1" applyFont="1" applyBorder="1" applyAlignment="1">
      <alignment/>
    </xf>
    <xf numFmtId="17" fontId="9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7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12" fillId="0" borderId="29" xfId="0" applyFont="1" applyBorder="1" applyAlignment="1">
      <alignment/>
    </xf>
    <xf numFmtId="3" fontId="12" fillId="0" borderId="30" xfId="0" applyNumberFormat="1" applyFont="1" applyBorder="1" applyAlignment="1">
      <alignment/>
    </xf>
    <xf numFmtId="4" fontId="13" fillId="0" borderId="31" xfId="0" applyNumberFormat="1" applyFont="1" applyBorder="1" applyAlignment="1">
      <alignment/>
    </xf>
    <xf numFmtId="4" fontId="13" fillId="0" borderId="32" xfId="0" applyNumberFormat="1" applyFont="1" applyBorder="1" applyAlignment="1">
      <alignment/>
    </xf>
    <xf numFmtId="0" fontId="12" fillId="0" borderId="30" xfId="0" applyFont="1" applyBorder="1" applyAlignment="1">
      <alignment/>
    </xf>
    <xf numFmtId="4" fontId="4" fillId="0" borderId="31" xfId="0" applyNumberFormat="1" applyFont="1" applyBorder="1" applyAlignment="1">
      <alignment/>
    </xf>
    <xf numFmtId="4" fontId="13" fillId="0" borderId="30" xfId="0" applyNumberFormat="1" applyFont="1" applyBorder="1" applyAlignment="1">
      <alignment/>
    </xf>
    <xf numFmtId="0" fontId="3" fillId="0" borderId="33" xfId="0" applyFont="1" applyBorder="1" applyAlignment="1">
      <alignment/>
    </xf>
    <xf numFmtId="3" fontId="2" fillId="0" borderId="34" xfId="0" applyNumberFormat="1" applyFont="1" applyBorder="1" applyAlignment="1">
      <alignment/>
    </xf>
    <xf numFmtId="4" fontId="13" fillId="0" borderId="35" xfId="0" applyNumberFormat="1" applyFont="1" applyBorder="1" applyAlignment="1">
      <alignment/>
    </xf>
    <xf numFmtId="4" fontId="13" fillId="0" borderId="34" xfId="0" applyNumberFormat="1" applyFont="1" applyBorder="1" applyAlignment="1">
      <alignment/>
    </xf>
    <xf numFmtId="4" fontId="1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9" fontId="4" fillId="0" borderId="39" xfId="52" applyFont="1" applyBorder="1" applyAlignment="1">
      <alignment/>
    </xf>
    <xf numFmtId="9" fontId="4" fillId="0" borderId="39" xfId="52" applyNumberFormat="1" applyFont="1" applyBorder="1" applyAlignment="1">
      <alignment/>
    </xf>
    <xf numFmtId="9" fontId="4" fillId="0" borderId="40" xfId="52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9" fontId="4" fillId="0" borderId="0" xfId="52" applyFont="1" applyBorder="1" applyAlignment="1">
      <alignment/>
    </xf>
    <xf numFmtId="4" fontId="13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171" fontId="13" fillId="0" borderId="0" xfId="46" applyFont="1" applyAlignment="1">
      <alignment/>
    </xf>
    <xf numFmtId="17" fontId="11" fillId="0" borderId="0" xfId="0" applyNumberFormat="1" applyFont="1" applyAlignment="1">
      <alignment/>
    </xf>
    <xf numFmtId="3" fontId="13" fillId="0" borderId="3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7" fillId="0" borderId="0" xfId="0" applyFont="1" applyFill="1" applyAlignment="1">
      <alignment/>
    </xf>
    <xf numFmtId="3" fontId="12" fillId="0" borderId="3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0" fontId="18" fillId="0" borderId="0" xfId="0" applyFont="1" applyAlignment="1">
      <alignment/>
    </xf>
    <xf numFmtId="17" fontId="19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2" fillId="0" borderId="41" xfId="0" applyFont="1" applyBorder="1" applyAlignment="1">
      <alignment horizontal="center"/>
    </xf>
    <xf numFmtId="3" fontId="13" fillId="0" borderId="31" xfId="0" applyNumberFormat="1" applyFont="1" applyBorder="1" applyAlignment="1">
      <alignment/>
    </xf>
    <xf numFmtId="3" fontId="2" fillId="0" borderId="34" xfId="46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12" fillId="0" borderId="30" xfId="0" applyNumberFormat="1" applyFont="1" applyFill="1" applyBorder="1" applyAlignment="1">
      <alignment/>
    </xf>
    <xf numFmtId="4" fontId="13" fillId="0" borderId="31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4" fontId="13" fillId="0" borderId="30" xfId="0" applyNumberFormat="1" applyFont="1" applyFill="1" applyBorder="1" applyAlignment="1">
      <alignment/>
    </xf>
    <xf numFmtId="0" fontId="12" fillId="0" borderId="30" xfId="0" applyFont="1" applyFill="1" applyBorder="1" applyAlignment="1">
      <alignment/>
    </xf>
    <xf numFmtId="4" fontId="12" fillId="0" borderId="32" xfId="0" applyNumberFormat="1" applyFont="1" applyBorder="1" applyAlignment="1">
      <alignment/>
    </xf>
    <xf numFmtId="17" fontId="4" fillId="0" borderId="0" xfId="0" applyNumberFormat="1" applyFont="1" applyAlignment="1">
      <alignment/>
    </xf>
    <xf numFmtId="0" fontId="13" fillId="0" borderId="29" xfId="0" applyFont="1" applyBorder="1" applyAlignment="1">
      <alignment/>
    </xf>
    <xf numFmtId="4" fontId="13" fillId="0" borderId="42" xfId="0" applyNumberFormat="1" applyFont="1" applyBorder="1" applyAlignment="1">
      <alignment/>
    </xf>
    <xf numFmtId="0" fontId="3" fillId="0" borderId="34" xfId="0" applyFont="1" applyBorder="1" applyAlignment="1">
      <alignment/>
    </xf>
    <xf numFmtId="9" fontId="4" fillId="0" borderId="35" xfId="52" applyFont="1" applyBorder="1" applyAlignment="1">
      <alignment/>
    </xf>
    <xf numFmtId="9" fontId="4" fillId="0" borderId="43" xfId="52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0" fontId="4" fillId="0" borderId="35" xfId="52" applyNumberFormat="1" applyFont="1" applyBorder="1" applyAlignment="1">
      <alignment/>
    </xf>
    <xf numFmtId="4" fontId="13" fillId="0" borderId="41" xfId="0" applyNumberFormat="1" applyFont="1" applyBorder="1" applyAlignment="1">
      <alignment/>
    </xf>
    <xf numFmtId="0" fontId="20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3" fontId="3" fillId="0" borderId="34" xfId="0" applyNumberFormat="1" applyFont="1" applyBorder="1" applyAlignment="1">
      <alignment/>
    </xf>
    <xf numFmtId="3" fontId="12" fillId="0" borderId="31" xfId="0" applyNumberFormat="1" applyFont="1" applyFill="1" applyBorder="1" applyAlignment="1">
      <alignment/>
    </xf>
    <xf numFmtId="4" fontId="13" fillId="0" borderId="44" xfId="0" applyNumberFormat="1" applyFont="1" applyBorder="1" applyAlignment="1">
      <alignment/>
    </xf>
    <xf numFmtId="10" fontId="13" fillId="0" borderId="44" xfId="0" applyNumberFormat="1" applyFont="1" applyBorder="1" applyAlignment="1">
      <alignment/>
    </xf>
    <xf numFmtId="4" fontId="13" fillId="0" borderId="45" xfId="0" applyNumberFormat="1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4" fillId="0" borderId="50" xfId="0" applyFont="1" applyBorder="1" applyAlignment="1">
      <alignment/>
    </xf>
    <xf numFmtId="0" fontId="12" fillId="0" borderId="51" xfId="0" applyFont="1" applyBorder="1" applyAlignment="1">
      <alignment/>
    </xf>
    <xf numFmtId="4" fontId="13" fillId="0" borderId="52" xfId="0" applyNumberFormat="1" applyFont="1" applyBorder="1" applyAlignment="1">
      <alignment/>
    </xf>
    <xf numFmtId="4" fontId="13" fillId="0" borderId="53" xfId="0" applyNumberFormat="1" applyFont="1" applyBorder="1" applyAlignment="1">
      <alignment/>
    </xf>
    <xf numFmtId="0" fontId="3" fillId="0" borderId="54" xfId="0" applyFont="1" applyBorder="1" applyAlignment="1">
      <alignment/>
    </xf>
    <xf numFmtId="9" fontId="4" fillId="0" borderId="55" xfId="52" applyFont="1" applyBorder="1" applyAlignment="1">
      <alignment/>
    </xf>
    <xf numFmtId="9" fontId="4" fillId="0" borderId="56" xfId="52" applyFont="1" applyBorder="1" applyAlignment="1">
      <alignment/>
    </xf>
    <xf numFmtId="3" fontId="2" fillId="0" borderId="57" xfId="0" applyNumberFormat="1" applyFont="1" applyBorder="1" applyAlignment="1">
      <alignment/>
    </xf>
    <xf numFmtId="4" fontId="13" fillId="0" borderId="58" xfId="0" applyNumberFormat="1" applyFont="1" applyBorder="1" applyAlignment="1">
      <alignment/>
    </xf>
    <xf numFmtId="4" fontId="13" fillId="0" borderId="57" xfId="0" applyNumberFormat="1" applyFont="1" applyBorder="1" applyAlignment="1">
      <alignment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17" fontId="21" fillId="0" borderId="0" xfId="0" applyNumberFormat="1" applyFont="1" applyFill="1" applyAlignment="1">
      <alignment horizontal="center"/>
    </xf>
    <xf numFmtId="17" fontId="22" fillId="0" borderId="0" xfId="0" applyNumberFormat="1" applyFont="1" applyAlignment="1">
      <alignment/>
    </xf>
    <xf numFmtId="0" fontId="2" fillId="0" borderId="63" xfId="0" applyFont="1" applyBorder="1" applyAlignment="1">
      <alignment horizontal="center"/>
    </xf>
    <xf numFmtId="17" fontId="21" fillId="0" borderId="0" xfId="0" applyNumberFormat="1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0" fontId="5" fillId="38" borderId="0" xfId="0" applyFont="1" applyFill="1" applyAlignment="1">
      <alignment horizontal="center"/>
    </xf>
    <xf numFmtId="0" fontId="5" fillId="39" borderId="0" xfId="0" applyFont="1" applyFill="1" applyAlignment="1">
      <alignment horizontal="center"/>
    </xf>
    <xf numFmtId="4" fontId="13" fillId="0" borderId="64" xfId="0" applyNumberFormat="1" applyFont="1" applyBorder="1" applyAlignment="1">
      <alignment/>
    </xf>
    <xf numFmtId="4" fontId="13" fillId="0" borderId="65" xfId="0" applyNumberFormat="1" applyFont="1" applyBorder="1" applyAlignment="1">
      <alignment/>
    </xf>
    <xf numFmtId="4" fontId="13" fillId="0" borderId="66" xfId="0" applyNumberFormat="1" applyFont="1" applyBorder="1" applyAlignment="1">
      <alignment/>
    </xf>
    <xf numFmtId="10" fontId="4" fillId="0" borderId="39" xfId="52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10" fontId="4" fillId="0" borderId="67" xfId="52" applyNumberFormat="1" applyFont="1" applyBorder="1" applyAlignment="1">
      <alignment/>
    </xf>
    <xf numFmtId="9" fontId="4" fillId="0" borderId="68" xfId="52" applyFont="1" applyBorder="1" applyAlignment="1">
      <alignment/>
    </xf>
    <xf numFmtId="10" fontId="4" fillId="0" borderId="55" xfId="52" applyNumberFormat="1" applyFont="1" applyBorder="1" applyAlignment="1">
      <alignment/>
    </xf>
    <xf numFmtId="10" fontId="4" fillId="0" borderId="69" xfId="52" applyNumberFormat="1" applyFont="1" applyBorder="1" applyAlignment="1">
      <alignment/>
    </xf>
    <xf numFmtId="10" fontId="4" fillId="0" borderId="70" xfId="52" applyNumberFormat="1" applyFont="1" applyBorder="1" applyAlignment="1">
      <alignment/>
    </xf>
    <xf numFmtId="0" fontId="2" fillId="0" borderId="0" xfId="0" applyFont="1" applyAlignment="1">
      <alignment horizontal="right"/>
    </xf>
    <xf numFmtId="10" fontId="4" fillId="0" borderId="40" xfId="52" applyNumberFormat="1" applyFont="1" applyBorder="1" applyAlignment="1">
      <alignment/>
    </xf>
    <xf numFmtId="10" fontId="4" fillId="0" borderId="43" xfId="52" applyNumberFormat="1" applyFont="1" applyBorder="1" applyAlignment="1">
      <alignment/>
    </xf>
    <xf numFmtId="10" fontId="4" fillId="0" borderId="71" xfId="52" applyNumberFormat="1" applyFont="1" applyBorder="1" applyAlignment="1">
      <alignment/>
    </xf>
    <xf numFmtId="17" fontId="27" fillId="0" borderId="0" xfId="0" applyNumberFormat="1" applyFont="1" applyFill="1" applyAlignment="1">
      <alignment horizontal="center"/>
    </xf>
    <xf numFmtId="0" fontId="5" fillId="40" borderId="0" xfId="0" applyFont="1" applyFill="1" applyAlignment="1">
      <alignment horizontal="center"/>
    </xf>
    <xf numFmtId="4" fontId="13" fillId="0" borderId="72" xfId="0" applyNumberFormat="1" applyFont="1" applyBorder="1" applyAlignment="1">
      <alignment/>
    </xf>
    <xf numFmtId="0" fontId="2" fillId="41" borderId="73" xfId="0" applyFont="1" applyFill="1" applyBorder="1" applyAlignment="1">
      <alignment horizontal="center"/>
    </xf>
    <xf numFmtId="0" fontId="2" fillId="41" borderId="12" xfId="0" applyFont="1" applyFill="1" applyBorder="1" applyAlignment="1">
      <alignment horizontal="center"/>
    </xf>
    <xf numFmtId="0" fontId="2" fillId="41" borderId="74" xfId="0" applyFont="1" applyFill="1" applyBorder="1" applyAlignment="1">
      <alignment horizontal="center"/>
    </xf>
    <xf numFmtId="0" fontId="2" fillId="41" borderId="75" xfId="0" applyFont="1" applyFill="1" applyBorder="1" applyAlignment="1">
      <alignment horizontal="center"/>
    </xf>
    <xf numFmtId="0" fontId="31" fillId="42" borderId="76" xfId="0" applyFont="1" applyFill="1" applyBorder="1" applyAlignment="1">
      <alignment/>
    </xf>
    <xf numFmtId="2" fontId="4" fillId="0" borderId="0" xfId="0" applyNumberFormat="1" applyFont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28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wrapText="1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Fill="1" applyAlignment="1">
      <alignment horizontal="center" wrapText="1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Fill="1" applyAlignment="1">
      <alignment horizontal="center" wrapText="1"/>
    </xf>
    <xf numFmtId="0" fontId="3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78" xfId="0" applyFont="1" applyBorder="1" applyAlignment="1">
      <alignment horizontal="center" wrapText="1"/>
    </xf>
    <xf numFmtId="0" fontId="0" fillId="0" borderId="79" xfId="0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29" fillId="0" borderId="0" xfId="0" applyFont="1" applyAlignment="1">
      <alignment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43" borderId="80" xfId="0" applyFont="1" applyFill="1" applyBorder="1" applyAlignment="1">
      <alignment horizontal="center"/>
    </xf>
    <xf numFmtId="0" fontId="2" fillId="43" borderId="81" xfId="0" applyFont="1" applyFill="1" applyBorder="1" applyAlignment="1">
      <alignment horizontal="center"/>
    </xf>
    <xf numFmtId="0" fontId="2" fillId="43" borderId="8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1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25"/>
          <c:w val="0.994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INT!$A$46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303049"/>
                </a:gs>
                <a:gs pos="50000">
                  <a:srgbClr val="666699"/>
                </a:gs>
                <a:gs pos="100000">
                  <a:srgbClr val="303049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INT!$C$47:$C$53</c:f>
              <c:strCache/>
            </c:strRef>
          </c:cat>
          <c:val>
            <c:numRef>
              <c:f>INT!$A$47:$A$53</c:f>
              <c:numCache/>
            </c:numRef>
          </c:val>
        </c:ser>
        <c:ser>
          <c:idx val="1"/>
          <c:order val="1"/>
          <c:tx>
            <c:strRef>
              <c:f>INT!$B$46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82A2A2"/>
                </a:gs>
                <a:gs pos="50000">
                  <a:srgbClr val="CCFFFF"/>
                </a:gs>
                <a:gs pos="100000">
                  <a:srgbClr val="82A2A2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INT!$C$47:$C$53</c:f>
              <c:strCache/>
            </c:strRef>
          </c:cat>
          <c:val>
            <c:numRef>
              <c:f>INT!$B$47:$B$53</c:f>
              <c:numCache/>
            </c:numRef>
          </c:val>
        </c:ser>
        <c:axId val="35731153"/>
        <c:axId val="53144922"/>
      </c:barChart>
      <c:catAx>
        <c:axId val="3573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75" b="1" i="0" u="none" baseline="0">
                <a:solidFill>
                  <a:srgbClr val="000000"/>
                </a:solidFill>
              </a:defRPr>
            </a:pPr>
          </a:p>
        </c:txPr>
        <c:crossAx val="53144922"/>
        <c:crosses val="autoZero"/>
        <c:auto val="1"/>
        <c:lblOffset val="100"/>
        <c:tickLblSkip val="1"/>
        <c:noMultiLvlLbl val="0"/>
      </c:catAx>
      <c:valAx>
        <c:axId val="53144922"/>
        <c:scaling>
          <c:orientation val="minMax"/>
          <c:max val="31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3573115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"/>
          <c:y val="0.9365"/>
          <c:w val="0.478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11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61"/>
          <c:w val="0.98225"/>
          <c:h val="0.8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CULTURA!$A$45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CULTURA!$C$46:$C$52</c:f>
              <c:strCache/>
            </c:strRef>
          </c:cat>
          <c:val>
            <c:numRef>
              <c:f>CULTURA!$A$46:$A$52</c:f>
              <c:numCache/>
            </c:numRef>
          </c:val>
        </c:ser>
        <c:ser>
          <c:idx val="1"/>
          <c:order val="1"/>
          <c:tx>
            <c:strRef>
              <c:f>CULTURA!$B$45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CULTURA!$C$46:$C$52</c:f>
              <c:strCache/>
            </c:strRef>
          </c:cat>
          <c:val>
            <c:numRef>
              <c:f>CULTURA!$B$46:$B$52</c:f>
              <c:numCache/>
            </c:numRef>
          </c:val>
        </c:ser>
        <c:axId val="39231355"/>
        <c:axId val="17537876"/>
      </c:barChart>
      <c:catAx>
        <c:axId val="39231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1" i="0" u="none" baseline="0">
                <a:solidFill>
                  <a:srgbClr val="000000"/>
                </a:solidFill>
              </a:defRPr>
            </a:pPr>
          </a:p>
        </c:txPr>
        <c:crossAx val="17537876"/>
        <c:crosses val="autoZero"/>
        <c:auto val="1"/>
        <c:lblOffset val="100"/>
        <c:tickLblSkip val="1"/>
        <c:noMultiLvlLbl val="0"/>
      </c:catAx>
      <c:valAx>
        <c:axId val="17537876"/>
        <c:scaling>
          <c:orientation val="minMax"/>
          <c:max val="22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</a:defRPr>
            </a:pPr>
          </a:p>
        </c:txPr>
        <c:crossAx val="39231355"/>
        <c:crossesAt val="1"/>
        <c:crossBetween val="between"/>
        <c:dispUnits/>
        <c:majorUnit val="20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725"/>
          <c:y val="0.93175"/>
          <c:w val="0.5057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1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9225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DEPORTES!$A$47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DEPORTES!$C$48:$C$54</c:f>
              <c:strCache/>
            </c:strRef>
          </c:cat>
          <c:val>
            <c:numRef>
              <c:f>DEPORTES!$A$48:$A$54</c:f>
              <c:numCache/>
            </c:numRef>
          </c:val>
        </c:ser>
        <c:ser>
          <c:idx val="1"/>
          <c:order val="1"/>
          <c:tx>
            <c:strRef>
              <c:f>DEPORTES!$B$47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DEPORTES!$C$48:$C$54</c:f>
              <c:strCache/>
            </c:strRef>
          </c:cat>
          <c:val>
            <c:numRef>
              <c:f>DEPORTES!$B$48:$B$54</c:f>
              <c:numCache/>
            </c:numRef>
          </c:val>
        </c:ser>
        <c:axId val="23623157"/>
        <c:axId val="11281822"/>
      </c:barChart>
      <c:catAx>
        <c:axId val="23623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1" i="0" u="none" baseline="0">
                <a:solidFill>
                  <a:srgbClr val="000000"/>
                </a:solidFill>
              </a:defRPr>
            </a:pPr>
          </a:p>
        </c:txPr>
        <c:crossAx val="11281822"/>
        <c:crosses val="autoZero"/>
        <c:auto val="1"/>
        <c:lblOffset val="100"/>
        <c:tickLblSkip val="1"/>
        <c:noMultiLvlLbl val="0"/>
      </c:catAx>
      <c:valAx>
        <c:axId val="1128182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23623157"/>
        <c:crossesAt val="1"/>
        <c:crossBetween val="between"/>
        <c:dispUnits/>
        <c:majorUnit val="15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9"/>
          <c:y val="0.94525"/>
          <c:w val="0.5015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Gasto por Área y Saldo de Crédito Presupuestario</a:t>
            </a:r>
          </a:p>
        </c:rich>
      </c:tx>
      <c:layout>
        <c:manualLayout>
          <c:xMode val="factor"/>
          <c:yMode val="factor"/>
          <c:x val="0"/>
          <c:y val="-0.014"/>
        </c:manualLayout>
      </c:layout>
      <c:spPr>
        <a:noFill/>
        <a:ln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"/>
          <c:y val="0.096"/>
          <c:w val="1"/>
          <c:h val="0.851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Personal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I'!$E$61:$E$71</c:f>
              <c:numCache/>
            </c:numRef>
          </c:val>
          <c:shape val="cylinder"/>
        </c:ser>
        <c:ser>
          <c:idx val="1"/>
          <c:order val="1"/>
          <c:tx>
            <c:v>Consumo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I'!$F$61:$F$71</c:f>
              <c:numCache/>
            </c:numRef>
          </c:val>
          <c:shape val="cylinder"/>
        </c:ser>
        <c:ser>
          <c:idx val="2"/>
          <c:order val="2"/>
          <c:tx>
            <c:v>Servicios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I'!$G$61:$G$71</c:f>
              <c:numCache/>
            </c:numRef>
          </c:val>
          <c:shape val="cylinder"/>
        </c:ser>
        <c:ser>
          <c:idx val="3"/>
          <c:order val="3"/>
          <c:tx>
            <c:v>Trans.Ctes.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I'!$H$61:$H$71</c:f>
              <c:numCache/>
            </c:numRef>
          </c:val>
          <c:shape val="cylinder"/>
        </c:ser>
        <c:ser>
          <c:idx val="4"/>
          <c:order val="4"/>
          <c:tx>
            <c:v>Bs.Cap.+Preex.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I'!$I$61:$I$71</c:f>
              <c:numCache/>
            </c:numRef>
          </c:val>
          <c:shape val="cylinder"/>
        </c:ser>
        <c:ser>
          <c:idx val="5"/>
          <c:order val="5"/>
          <c:tx>
            <c:v>Trab.Públ.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I'!$J$61:$J$71</c:f>
              <c:numCache/>
            </c:numRef>
          </c:val>
          <c:shape val="cylinder"/>
        </c:ser>
        <c:ser>
          <c:idx val="7"/>
          <c:order val="6"/>
          <c:tx>
            <c:v>Amort.Dda.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I'!$K$61:$K$71</c:f>
              <c:numCache/>
            </c:numRef>
          </c:val>
          <c:shape val="cylinder"/>
        </c:ser>
        <c:ser>
          <c:idx val="6"/>
          <c:order val="7"/>
          <c:tx>
            <c:v>Sdo.Cto.Pto.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I'!$L$61:$L$71</c:f>
              <c:numCache/>
            </c:numRef>
          </c:val>
          <c:shape val="cylinder"/>
        </c:ser>
        <c:overlap val="100"/>
        <c:shape val="cylinder"/>
        <c:axId val="34427535"/>
        <c:axId val="41412360"/>
      </c:bar3DChart>
      <c:catAx>
        <c:axId val="34427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000000"/>
                </a:solidFill>
              </a:defRPr>
            </a:pPr>
          </a:p>
        </c:txPr>
        <c:crossAx val="41412360"/>
        <c:crosses val="autoZero"/>
        <c:auto val="1"/>
        <c:lblOffset val="100"/>
        <c:tickLblSkip val="1"/>
        <c:noMultiLvlLbl val="0"/>
      </c:catAx>
      <c:valAx>
        <c:axId val="41412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442753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03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6325"/>
          <c:w val="0.984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GOB!$A$52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GOB!$C$53:$C$59</c:f>
              <c:strCache/>
            </c:strRef>
          </c:cat>
          <c:val>
            <c:numRef>
              <c:f>GOB!$A$53:$A$59</c:f>
              <c:numCache/>
            </c:numRef>
          </c:val>
        </c:ser>
        <c:ser>
          <c:idx val="1"/>
          <c:order val="1"/>
          <c:tx>
            <c:strRef>
              <c:f>GOB!$B$52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GOB!$C$53:$C$59</c:f>
              <c:strCache/>
            </c:strRef>
          </c:cat>
          <c:val>
            <c:numRef>
              <c:f>GOB!$B$53:$B$59</c:f>
              <c:numCache/>
            </c:numRef>
          </c:val>
        </c:ser>
        <c:axId val="8542251"/>
        <c:axId val="9771396"/>
      </c:barChart>
      <c:catAx>
        <c:axId val="854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75" b="1" i="0" u="none" baseline="0">
                <a:solidFill>
                  <a:srgbClr val="000000"/>
                </a:solidFill>
              </a:defRPr>
            </a:pPr>
          </a:p>
        </c:txPr>
        <c:crossAx val="9771396"/>
        <c:crosses val="autoZero"/>
        <c:auto val="1"/>
        <c:lblOffset val="100"/>
        <c:tickLblSkip val="1"/>
        <c:noMultiLvlLbl val="0"/>
      </c:catAx>
      <c:valAx>
        <c:axId val="9771396"/>
        <c:scaling>
          <c:orientation val="minMax"/>
          <c:max val="6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854225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8"/>
          <c:y val="0.932"/>
          <c:w val="0.514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1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"/>
          <c:w val="0.9937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SEH!$A$48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SEH!$C$49:$C$55</c:f>
              <c:strCache/>
            </c:strRef>
          </c:cat>
          <c:val>
            <c:numRef>
              <c:f>SEH!$A$49:$A$55</c:f>
              <c:numCache/>
            </c:numRef>
          </c:val>
        </c:ser>
        <c:ser>
          <c:idx val="1"/>
          <c:order val="1"/>
          <c:tx>
            <c:strRef>
              <c:f>SEH!$B$48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SEH!$C$49:$C$55</c:f>
              <c:strCache/>
            </c:strRef>
          </c:cat>
          <c:val>
            <c:numRef>
              <c:f>SEH!$B$49:$B$55</c:f>
              <c:numCache/>
            </c:numRef>
          </c:val>
        </c:ser>
        <c:axId val="20833701"/>
        <c:axId val="53285582"/>
      </c:barChart>
      <c:catAx>
        <c:axId val="20833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1" i="0" u="none" baseline="0">
                <a:solidFill>
                  <a:srgbClr val="000000"/>
                </a:solidFill>
              </a:defRPr>
            </a:pPr>
          </a:p>
        </c:txPr>
        <c:crossAx val="53285582"/>
        <c:crosses val="autoZero"/>
        <c:auto val="1"/>
        <c:lblOffset val="100"/>
        <c:tickLblSkip val="1"/>
        <c:noMultiLvlLbl val="0"/>
      </c:catAx>
      <c:valAx>
        <c:axId val="53285582"/>
        <c:scaling>
          <c:orientation val="minMax"/>
          <c:max val="55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1" i="0" u="none" baseline="0">
                <a:solidFill>
                  <a:srgbClr val="000000"/>
                </a:solidFill>
              </a:defRPr>
            </a:pPr>
          </a:p>
        </c:txPr>
        <c:crossAx val="20833701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C0C0C0"/>
            </a:gs>
            <a:gs pos="100000">
              <a:srgbClr val="F5F5F5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175"/>
          <c:w val="0.498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10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25"/>
          <c:w val="0.99675"/>
          <c:h val="0.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SAS!$A$47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SAS!$C$48:$C$54</c:f>
              <c:strCache/>
            </c:strRef>
          </c:cat>
          <c:val>
            <c:numRef>
              <c:f>SAS!$A$48:$A$54</c:f>
              <c:numCache/>
            </c:numRef>
          </c:val>
        </c:ser>
        <c:ser>
          <c:idx val="1"/>
          <c:order val="1"/>
          <c:tx>
            <c:strRef>
              <c:f>SAS!$B$47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SAS!$C$48:$C$54</c:f>
              <c:strCache/>
            </c:strRef>
          </c:cat>
          <c:val>
            <c:numRef>
              <c:f>SAS!$B$48:$B$54</c:f>
              <c:numCache/>
            </c:numRef>
          </c:val>
        </c:ser>
        <c:axId val="9808191"/>
        <c:axId val="21164856"/>
      </c:barChart>
      <c:catAx>
        <c:axId val="9808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1" i="0" u="none" baseline="0">
                <a:solidFill>
                  <a:srgbClr val="000000"/>
                </a:solidFill>
              </a:defRPr>
            </a:pPr>
          </a:p>
        </c:txPr>
        <c:crossAx val="21164856"/>
        <c:crosses val="autoZero"/>
        <c:auto val="1"/>
        <c:lblOffset val="100"/>
        <c:tickLblSkip val="1"/>
        <c:noMultiLvlLbl val="0"/>
      </c:catAx>
      <c:valAx>
        <c:axId val="21164856"/>
        <c:scaling>
          <c:orientation val="minMax"/>
          <c:max val="1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1" i="0" u="none" baseline="0">
                <a:solidFill>
                  <a:srgbClr val="000000"/>
                </a:solidFill>
              </a:defRPr>
            </a:pPr>
          </a:p>
        </c:txPr>
        <c:crossAx val="9808191"/>
        <c:crossesAt val="1"/>
        <c:crossBetween val="between"/>
        <c:dispUnits/>
        <c:majorUnit val="1000000"/>
      </c:valAx>
      <c:spPr>
        <a:gradFill rotWithShape="1">
          <a:gsLst>
            <a:gs pos="0">
              <a:srgbClr val="C0C0C0"/>
            </a:gs>
            <a:gs pos="100000">
              <a:srgbClr val="F7F7F7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875"/>
          <c:y val="0.94025"/>
          <c:w val="0.51725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09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25"/>
          <c:w val="0.994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SOP!$A$50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SOP!$C$51:$C$57</c:f>
              <c:strCache/>
            </c:strRef>
          </c:cat>
          <c:val>
            <c:numRef>
              <c:f>SOP!$A$51:$A$57</c:f>
              <c:numCache/>
            </c:numRef>
          </c:val>
        </c:ser>
        <c:ser>
          <c:idx val="1"/>
          <c:order val="1"/>
          <c:tx>
            <c:strRef>
              <c:f>SOP!$B$50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SOP!$C$51:$C$57</c:f>
              <c:strCache/>
            </c:strRef>
          </c:cat>
          <c:val>
            <c:numRef>
              <c:f>SOP!$B$51:$B$57</c:f>
              <c:numCache/>
            </c:numRef>
          </c:val>
        </c:ser>
        <c:gapWidth val="100"/>
        <c:axId val="56265977"/>
        <c:axId val="36631746"/>
      </c:barChart>
      <c:catAx>
        <c:axId val="5626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75" b="1" i="0" u="none" baseline="0">
                <a:solidFill>
                  <a:srgbClr val="000000"/>
                </a:solidFill>
              </a:defRPr>
            </a:pPr>
          </a:p>
        </c:txPr>
        <c:crossAx val="36631746"/>
        <c:crosses val="autoZero"/>
        <c:auto val="1"/>
        <c:lblOffset val="100"/>
        <c:tickLblSkip val="1"/>
        <c:noMultiLvlLbl val="0"/>
      </c:catAx>
      <c:valAx>
        <c:axId val="36631746"/>
        <c:scaling>
          <c:orientation val="minMax"/>
          <c:max val="85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56265977"/>
        <c:crossesAt val="1"/>
        <c:crossBetween val="between"/>
        <c:dispUnits/>
        <c:majorUnit val="1000000"/>
      </c:valAx>
      <c:spPr>
        <a:gradFill rotWithShape="1">
          <a:gsLst>
            <a:gs pos="0">
              <a:srgbClr val="C0C0C0"/>
            </a:gs>
            <a:gs pos="100000">
              <a:srgbClr val="FBFBFB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425"/>
          <c:y val="0.9385"/>
          <c:w val="0.537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1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47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SFOI!$A$45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2F2F47"/>
                  </a:gs>
                  <a:gs pos="50000">
                    <a:srgbClr val="666699"/>
                  </a:gs>
                  <a:gs pos="100000">
                    <a:srgbClr val="2F2F47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SFOI!$C$46:$C$52</c:f>
              <c:strCache/>
            </c:strRef>
          </c:cat>
          <c:val>
            <c:numRef>
              <c:f>SFOI!$A$46:$A$52</c:f>
              <c:numCache/>
            </c:numRef>
          </c:val>
        </c:ser>
        <c:ser>
          <c:idx val="1"/>
          <c:order val="1"/>
          <c:tx>
            <c:strRef>
              <c:f>SFOI!$B$45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SFOI!$C$46:$C$52</c:f>
              <c:strCache/>
            </c:strRef>
          </c:cat>
          <c:val>
            <c:numRef>
              <c:f>SFOI!$B$46:$B$52</c:f>
              <c:numCache/>
            </c:numRef>
          </c:val>
        </c:ser>
        <c:axId val="61250259"/>
        <c:axId val="14381420"/>
      </c:barChart>
      <c:catAx>
        <c:axId val="61250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1" i="0" u="none" baseline="0">
                <a:solidFill>
                  <a:srgbClr val="000000"/>
                </a:solidFill>
              </a:defRPr>
            </a:pPr>
          </a:p>
        </c:txPr>
        <c:crossAx val="14381420"/>
        <c:crosses val="autoZero"/>
        <c:auto val="1"/>
        <c:lblOffset val="100"/>
        <c:tickLblSkip val="1"/>
        <c:noMultiLvlLbl val="0"/>
      </c:catAx>
      <c:valAx>
        <c:axId val="14381420"/>
        <c:scaling>
          <c:orientation val="minMax"/>
          <c:max val="132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61250259"/>
        <c:crossesAt val="1"/>
        <c:crossBetween val="between"/>
        <c:dispUnits/>
        <c:majorUnit val="800000"/>
        <c:minorUnit val="50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85"/>
          <c:y val="0.93425"/>
          <c:w val="0.4697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07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75"/>
          <c:w val="0.98325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'CD'!$A$45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'CD'!$C$46:$C$52</c:f>
              <c:strCache/>
            </c:strRef>
          </c:cat>
          <c:val>
            <c:numRef>
              <c:f>'CD'!$A$46:$A$52</c:f>
              <c:numCache/>
            </c:numRef>
          </c:val>
        </c:ser>
        <c:ser>
          <c:idx val="1"/>
          <c:order val="1"/>
          <c:tx>
            <c:strRef>
              <c:f>'CD'!$B$45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'CD'!$C$46:$C$52</c:f>
              <c:strCache/>
            </c:strRef>
          </c:cat>
          <c:val>
            <c:numRef>
              <c:f>'CD'!$B$46:$B$52</c:f>
              <c:numCache/>
            </c:numRef>
          </c:val>
        </c:ser>
        <c:axId val="62323917"/>
        <c:axId val="24044342"/>
      </c:barChart>
      <c:catAx>
        <c:axId val="62323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1" i="0" u="none" baseline="0">
                <a:solidFill>
                  <a:srgbClr val="000000"/>
                </a:solidFill>
              </a:defRPr>
            </a:pPr>
          </a:p>
        </c:txPr>
        <c:crossAx val="24044342"/>
        <c:crosses val="autoZero"/>
        <c:auto val="1"/>
        <c:lblOffset val="100"/>
        <c:tickLblSkip val="1"/>
        <c:noMultiLvlLbl val="0"/>
      </c:catAx>
      <c:valAx>
        <c:axId val="24044342"/>
        <c:scaling>
          <c:orientation val="minMax"/>
          <c:max val="13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1" i="0" u="none" baseline="0">
                <a:solidFill>
                  <a:srgbClr val="000000"/>
                </a:solidFill>
              </a:defRPr>
            </a:pPr>
          </a:p>
        </c:txPr>
        <c:crossAx val="62323917"/>
        <c:crossesAt val="1"/>
        <c:crossBetween val="between"/>
        <c:dispUnits/>
        <c:majorUnit val="10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4"/>
          <c:y val="0.93"/>
          <c:w val="0.607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7175"/>
          <c:w val="0.97675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'CM'!$A$48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'CM'!$C$49:$C$53</c:f>
              <c:strCache/>
            </c:strRef>
          </c:cat>
          <c:val>
            <c:numRef>
              <c:f>'CM'!$A$49:$A$53</c:f>
              <c:numCache/>
            </c:numRef>
          </c:val>
        </c:ser>
        <c:ser>
          <c:idx val="1"/>
          <c:order val="1"/>
          <c:tx>
            <c:strRef>
              <c:f>'CM'!$B$48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'CM'!$C$49:$C$53</c:f>
              <c:strCache/>
            </c:strRef>
          </c:cat>
          <c:val>
            <c:numRef>
              <c:f>'CM'!$B$49:$B$53</c:f>
              <c:numCache/>
            </c:numRef>
          </c:val>
        </c:ser>
        <c:axId val="15072487"/>
        <c:axId val="1434656"/>
      </c:barChart>
      <c:catAx>
        <c:axId val="15072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1" i="0" u="none" baseline="0">
                <a:solidFill>
                  <a:srgbClr val="000000"/>
                </a:solidFill>
              </a:defRPr>
            </a:pPr>
          </a:p>
        </c:txPr>
        <c:crossAx val="1434656"/>
        <c:crosses val="autoZero"/>
        <c:auto val="1"/>
        <c:lblOffset val="100"/>
        <c:tickLblSkip val="1"/>
        <c:noMultiLvlLbl val="0"/>
      </c:catAx>
      <c:valAx>
        <c:axId val="143465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15072487"/>
        <c:crossesAt val="1"/>
        <c:crossBetween val="between"/>
        <c:dispUnits/>
        <c:majorUnit val="50000"/>
      </c:valAx>
      <c:spPr>
        <a:gradFill rotWithShape="1">
          <a:gsLst>
            <a:gs pos="0">
              <a:srgbClr val="C0C0C0"/>
            </a:gs>
            <a:gs pos="100000">
              <a:srgbClr val="FBFBFB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25"/>
          <c:y val="0.922"/>
          <c:w val="0.6067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12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25"/>
          <c:w val="0.9932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SSP!$A$49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SSP!$C$50:$C$56</c:f>
              <c:strCache/>
            </c:strRef>
          </c:cat>
          <c:val>
            <c:numRef>
              <c:f>SSP!$A$50:$A$56</c:f>
              <c:numCache/>
            </c:numRef>
          </c:val>
        </c:ser>
        <c:ser>
          <c:idx val="1"/>
          <c:order val="1"/>
          <c:tx>
            <c:strRef>
              <c:f>SSP!$B$49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SSP!$C$50:$C$56</c:f>
              <c:strCache/>
            </c:strRef>
          </c:cat>
          <c:val>
            <c:numRef>
              <c:f>SSP!$B$50:$B$56</c:f>
              <c:numCache/>
            </c:numRef>
          </c:val>
        </c:ser>
        <c:axId val="12911905"/>
        <c:axId val="49098282"/>
      </c:barChart>
      <c:catAx>
        <c:axId val="12911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1" i="0" u="none" baseline="0">
                <a:solidFill>
                  <a:srgbClr val="000000"/>
                </a:solidFill>
              </a:defRPr>
            </a:pPr>
          </a:p>
        </c:txPr>
        <c:crossAx val="49098282"/>
        <c:crosses val="autoZero"/>
        <c:auto val="1"/>
        <c:lblOffset val="100"/>
        <c:tickLblSkip val="1"/>
        <c:noMultiLvlLbl val="0"/>
      </c:catAx>
      <c:valAx>
        <c:axId val="49098282"/>
        <c:scaling>
          <c:orientation val="minMax"/>
          <c:max val="23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12911905"/>
        <c:crossesAt val="1"/>
        <c:crossBetween val="between"/>
        <c:dispUnits/>
        <c:majorUnit val="2000000"/>
        <c:minorUnit val="5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8"/>
          <c:y val="0.93425"/>
          <c:w val="0.5102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14</xdr:row>
      <xdr:rowOff>180975</xdr:rowOff>
    </xdr:from>
    <xdr:to>
      <xdr:col>12</xdr:col>
      <xdr:colOff>571500</xdr:colOff>
      <xdr:row>31</xdr:row>
      <xdr:rowOff>9525</xdr:rowOff>
    </xdr:to>
    <xdr:graphicFrame>
      <xdr:nvGraphicFramePr>
        <xdr:cNvPr id="1" name="Gráfico 1"/>
        <xdr:cNvGraphicFramePr/>
      </xdr:nvGraphicFramePr>
      <xdr:xfrm>
        <a:off x="2076450" y="3276600"/>
        <a:ext cx="67151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12</xdr:row>
      <xdr:rowOff>57150</xdr:rowOff>
    </xdr:from>
    <xdr:to>
      <xdr:col>13</xdr:col>
      <xdr:colOff>409575</xdr:colOff>
      <xdr:row>26</xdr:row>
      <xdr:rowOff>133350</xdr:rowOff>
    </xdr:to>
    <xdr:graphicFrame>
      <xdr:nvGraphicFramePr>
        <xdr:cNvPr id="1" name="Gráfico 1"/>
        <xdr:cNvGraphicFramePr/>
      </xdr:nvGraphicFramePr>
      <xdr:xfrm>
        <a:off x="2228850" y="2676525"/>
        <a:ext cx="66198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15</xdr:row>
      <xdr:rowOff>19050</xdr:rowOff>
    </xdr:from>
    <xdr:to>
      <xdr:col>12</xdr:col>
      <xdr:colOff>561975</xdr:colOff>
      <xdr:row>32</xdr:row>
      <xdr:rowOff>28575</xdr:rowOff>
    </xdr:to>
    <xdr:graphicFrame>
      <xdr:nvGraphicFramePr>
        <xdr:cNvPr id="1" name="Gráfico 1"/>
        <xdr:cNvGraphicFramePr/>
      </xdr:nvGraphicFramePr>
      <xdr:xfrm>
        <a:off x="1695450" y="2714625"/>
        <a:ext cx="66960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18</xdr:row>
      <xdr:rowOff>9525</xdr:rowOff>
    </xdr:from>
    <xdr:to>
      <xdr:col>9</xdr:col>
      <xdr:colOff>276225</xdr:colOff>
      <xdr:row>34</xdr:row>
      <xdr:rowOff>123825</xdr:rowOff>
    </xdr:to>
    <xdr:graphicFrame>
      <xdr:nvGraphicFramePr>
        <xdr:cNvPr id="1" name="Gráfico 2"/>
        <xdr:cNvGraphicFramePr/>
      </xdr:nvGraphicFramePr>
      <xdr:xfrm>
        <a:off x="314325" y="3876675"/>
        <a:ext cx="80010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20</xdr:row>
      <xdr:rowOff>104775</xdr:rowOff>
    </xdr:from>
    <xdr:to>
      <xdr:col>12</xdr:col>
      <xdr:colOff>114300</xdr:colOff>
      <xdr:row>35</xdr:row>
      <xdr:rowOff>104775</xdr:rowOff>
    </xdr:to>
    <xdr:graphicFrame>
      <xdr:nvGraphicFramePr>
        <xdr:cNvPr id="1" name="Gráfico 1"/>
        <xdr:cNvGraphicFramePr/>
      </xdr:nvGraphicFramePr>
      <xdr:xfrm>
        <a:off x="1981200" y="4248150"/>
        <a:ext cx="65532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16</xdr:row>
      <xdr:rowOff>152400</xdr:rowOff>
    </xdr:from>
    <xdr:to>
      <xdr:col>12</xdr:col>
      <xdr:colOff>590550</xdr:colOff>
      <xdr:row>31</xdr:row>
      <xdr:rowOff>28575</xdr:rowOff>
    </xdr:to>
    <xdr:graphicFrame>
      <xdr:nvGraphicFramePr>
        <xdr:cNvPr id="1" name="Gráfico 1"/>
        <xdr:cNvGraphicFramePr/>
      </xdr:nvGraphicFramePr>
      <xdr:xfrm>
        <a:off x="2143125" y="3609975"/>
        <a:ext cx="63341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15</xdr:row>
      <xdr:rowOff>142875</xdr:rowOff>
    </xdr:from>
    <xdr:to>
      <xdr:col>12</xdr:col>
      <xdr:colOff>371475</xdr:colOff>
      <xdr:row>32</xdr:row>
      <xdr:rowOff>38100</xdr:rowOff>
    </xdr:to>
    <xdr:graphicFrame>
      <xdr:nvGraphicFramePr>
        <xdr:cNvPr id="1" name="Gráfico 1"/>
        <xdr:cNvGraphicFramePr/>
      </xdr:nvGraphicFramePr>
      <xdr:xfrm>
        <a:off x="2190750" y="3219450"/>
        <a:ext cx="64770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16</xdr:row>
      <xdr:rowOff>171450</xdr:rowOff>
    </xdr:from>
    <xdr:to>
      <xdr:col>12</xdr:col>
      <xdr:colOff>581025</xdr:colOff>
      <xdr:row>32</xdr:row>
      <xdr:rowOff>19050</xdr:rowOff>
    </xdr:to>
    <xdr:graphicFrame>
      <xdr:nvGraphicFramePr>
        <xdr:cNvPr id="1" name="Gráfico 1"/>
        <xdr:cNvGraphicFramePr/>
      </xdr:nvGraphicFramePr>
      <xdr:xfrm>
        <a:off x="1943100" y="3448050"/>
        <a:ext cx="64865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15</xdr:row>
      <xdr:rowOff>47625</xdr:rowOff>
    </xdr:from>
    <xdr:to>
      <xdr:col>12</xdr:col>
      <xdr:colOff>352425</xdr:colOff>
      <xdr:row>30</xdr:row>
      <xdr:rowOff>28575</xdr:rowOff>
    </xdr:to>
    <xdr:graphicFrame>
      <xdr:nvGraphicFramePr>
        <xdr:cNvPr id="1" name="Gráfico 1"/>
        <xdr:cNvGraphicFramePr/>
      </xdr:nvGraphicFramePr>
      <xdr:xfrm>
        <a:off x="2495550" y="3190875"/>
        <a:ext cx="60864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12</xdr:col>
      <xdr:colOff>400050</xdr:colOff>
      <xdr:row>30</xdr:row>
      <xdr:rowOff>66675</xdr:rowOff>
    </xdr:to>
    <xdr:graphicFrame>
      <xdr:nvGraphicFramePr>
        <xdr:cNvPr id="1" name="Gráfico 1"/>
        <xdr:cNvGraphicFramePr/>
      </xdr:nvGraphicFramePr>
      <xdr:xfrm>
        <a:off x="2152650" y="3133725"/>
        <a:ext cx="52959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9525</xdr:rowOff>
    </xdr:from>
    <xdr:to>
      <xdr:col>12</xdr:col>
      <xdr:colOff>28575</xdr:colOff>
      <xdr:row>29</xdr:row>
      <xdr:rowOff>85725</xdr:rowOff>
    </xdr:to>
    <xdr:graphicFrame>
      <xdr:nvGraphicFramePr>
        <xdr:cNvPr id="1" name="Gráfico 1"/>
        <xdr:cNvGraphicFramePr/>
      </xdr:nvGraphicFramePr>
      <xdr:xfrm>
        <a:off x="1133475" y="3105150"/>
        <a:ext cx="58007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15</xdr:row>
      <xdr:rowOff>19050</xdr:rowOff>
    </xdr:from>
    <xdr:to>
      <xdr:col>12</xdr:col>
      <xdr:colOff>542925</xdr:colOff>
      <xdr:row>32</xdr:row>
      <xdr:rowOff>19050</xdr:rowOff>
    </xdr:to>
    <xdr:graphicFrame>
      <xdr:nvGraphicFramePr>
        <xdr:cNvPr id="1" name="Gráfico 1"/>
        <xdr:cNvGraphicFramePr/>
      </xdr:nvGraphicFramePr>
      <xdr:xfrm>
        <a:off x="1828800" y="3152775"/>
        <a:ext cx="70866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5"/>
  <sheetViews>
    <sheetView zoomScalePageLayoutView="0" workbookViewId="0" topLeftCell="G1">
      <selection activeCell="P14" sqref="P14"/>
    </sheetView>
  </sheetViews>
  <sheetFormatPr defaultColWidth="11.421875" defaultRowHeight="15"/>
  <cols>
    <col min="1" max="1" width="16.421875" style="1" customWidth="1"/>
    <col min="2" max="2" width="9.140625" style="1" customWidth="1"/>
    <col min="3" max="3" width="12.421875" style="1" customWidth="1"/>
    <col min="4" max="4" width="7.57421875" style="1" customWidth="1"/>
    <col min="5" max="5" width="10.140625" style="1" customWidth="1"/>
    <col min="6" max="6" width="9.57421875" style="1" customWidth="1"/>
    <col min="7" max="7" width="10.7109375" style="1" customWidth="1"/>
    <col min="8" max="8" width="9.421875" style="1" customWidth="1"/>
    <col min="9" max="9" width="10.7109375" style="1" customWidth="1"/>
    <col min="10" max="10" width="9.28125" style="1" customWidth="1"/>
    <col min="11" max="11" width="10.7109375" style="1" customWidth="1"/>
    <col min="12" max="12" width="7.140625" style="1" customWidth="1"/>
    <col min="13" max="13" width="10.00390625" style="1" customWidth="1"/>
    <col min="14" max="14" width="9.7109375" style="1" customWidth="1"/>
    <col min="15" max="15" width="10.28125" style="1" customWidth="1"/>
    <col min="16" max="17" width="12.421875" style="1" customWidth="1"/>
    <col min="18" max="18" width="13.8515625" style="1" bestFit="1" customWidth="1"/>
    <col min="19" max="16384" width="11.421875" style="1" customWidth="1"/>
  </cols>
  <sheetData>
    <row r="2" spans="1:15" ht="18">
      <c r="A2" s="146" t="s">
        <v>0</v>
      </c>
      <c r="B2" s="165" t="s">
        <v>103</v>
      </c>
      <c r="C2" s="165"/>
      <c r="D2" s="166"/>
      <c r="E2" s="166"/>
      <c r="L2" s="164" t="s">
        <v>23</v>
      </c>
      <c r="M2" s="164"/>
      <c r="N2" s="150">
        <v>41030</v>
      </c>
      <c r="O2" s="23"/>
    </row>
    <row r="3" spans="2:5" ht="16.5">
      <c r="B3" s="167"/>
      <c r="C3" s="167"/>
      <c r="E3" s="22"/>
    </row>
    <row r="4" spans="3:5" ht="17.25" thickBot="1">
      <c r="C4" s="24"/>
      <c r="D4" s="24"/>
      <c r="E4" s="22"/>
    </row>
    <row r="5" spans="1:17" ht="18" thickTop="1">
      <c r="A5" s="104"/>
      <c r="B5" s="168" t="s">
        <v>1</v>
      </c>
      <c r="C5" s="169"/>
      <c r="D5" s="168" t="s">
        <v>2</v>
      </c>
      <c r="E5" s="169"/>
      <c r="F5" s="168" t="s">
        <v>3</v>
      </c>
      <c r="G5" s="169"/>
      <c r="H5" s="168" t="s">
        <v>4</v>
      </c>
      <c r="I5" s="169"/>
      <c r="J5" s="168" t="s">
        <v>32</v>
      </c>
      <c r="K5" s="169"/>
      <c r="L5" s="105" t="s">
        <v>87</v>
      </c>
      <c r="M5" s="106"/>
      <c r="N5" s="168" t="s">
        <v>33</v>
      </c>
      <c r="O5" s="169"/>
      <c r="P5" s="107" t="s">
        <v>5</v>
      </c>
      <c r="Q5" s="118" t="s">
        <v>38</v>
      </c>
    </row>
    <row r="6" spans="1:17" ht="17.25">
      <c r="A6" s="108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4" t="s">
        <v>25</v>
      </c>
      <c r="Q6" s="119" t="s">
        <v>39</v>
      </c>
    </row>
    <row r="7" spans="1:18" ht="17.25">
      <c r="A7" s="109" t="s">
        <v>14</v>
      </c>
      <c r="B7" s="32">
        <v>643245</v>
      </c>
      <c r="C7" s="33">
        <f>39543.69+228691.22+4181.84+23734.3</f>
        <v>296151.05000000005</v>
      </c>
      <c r="D7" s="32">
        <v>10000</v>
      </c>
      <c r="E7" s="33">
        <f>8907.27+14775.34</f>
        <v>23682.61</v>
      </c>
      <c r="F7" s="32">
        <v>407665</v>
      </c>
      <c r="G7" s="33">
        <f>97864.26+324843.95+920+14720</f>
        <v>438348.21</v>
      </c>
      <c r="H7" s="32">
        <v>391545</v>
      </c>
      <c r="I7" s="33">
        <f>192026.63+287270.04</f>
        <v>479296.67</v>
      </c>
      <c r="J7" s="32">
        <v>2500</v>
      </c>
      <c r="K7" s="33">
        <f>2158+9636.75</f>
        <v>11794.75</v>
      </c>
      <c r="L7" s="32">
        <v>0</v>
      </c>
      <c r="M7" s="33">
        <f>2652+29683.37</f>
        <v>32335.37</v>
      </c>
      <c r="N7" s="32">
        <f>400000+800000</f>
        <v>1200000</v>
      </c>
      <c r="O7" s="33">
        <f>17022+370031.23</f>
        <v>387053.23</v>
      </c>
      <c r="P7" s="110">
        <f>+O7+K7+I7+G7+E7+C7+M7</f>
        <v>1668661.8900000001</v>
      </c>
      <c r="Q7" s="136">
        <f>+B7+D7+F7+H7+J7+N7+L7-P7</f>
        <v>986293.1099999999</v>
      </c>
      <c r="R7" s="5"/>
    </row>
    <row r="8" spans="1:17" ht="17.25">
      <c r="A8" s="109"/>
      <c r="B8" s="35"/>
      <c r="C8" s="36"/>
      <c r="D8" s="35"/>
      <c r="E8" s="33"/>
      <c r="F8" s="35"/>
      <c r="G8" s="33"/>
      <c r="H8" s="35"/>
      <c r="I8" s="33"/>
      <c r="J8" s="35"/>
      <c r="K8" s="33"/>
      <c r="L8" s="37"/>
      <c r="M8" s="33"/>
      <c r="N8" s="35"/>
      <c r="O8" s="33"/>
      <c r="P8" s="110"/>
      <c r="Q8" s="137"/>
    </row>
    <row r="9" spans="1:17" ht="17.25">
      <c r="A9" s="109" t="s">
        <v>99</v>
      </c>
      <c r="B9" s="32">
        <v>1029722</v>
      </c>
      <c r="C9" s="33">
        <f>67393.98+357101.63</f>
        <v>424495.61</v>
      </c>
      <c r="D9" s="32">
        <v>0</v>
      </c>
      <c r="E9" s="33">
        <v>0</v>
      </c>
      <c r="F9" s="32">
        <v>70400</v>
      </c>
      <c r="G9" s="33">
        <v>30695.72</v>
      </c>
      <c r="H9" s="32">
        <v>0</v>
      </c>
      <c r="I9" s="33">
        <f>5701.4+75213.73</f>
        <v>80915.12999999999</v>
      </c>
      <c r="J9" s="32">
        <v>800000</v>
      </c>
      <c r="K9" s="33">
        <f>167472.05+647859.92</f>
        <v>815331.97</v>
      </c>
      <c r="L9" s="32">
        <v>0</v>
      </c>
      <c r="M9" s="33">
        <v>3</v>
      </c>
      <c r="N9" s="35">
        <v>0</v>
      </c>
      <c r="O9" s="33">
        <v>332113.72</v>
      </c>
      <c r="P9" s="110">
        <f>+O9+K9+I9+G9+E9+C9+M9</f>
        <v>1683555.15</v>
      </c>
      <c r="Q9" s="137">
        <f>+B9+D9+F9+H9+J9+N9-P9</f>
        <v>216566.8500000001</v>
      </c>
    </row>
    <row r="10" spans="1:17" ht="17.25">
      <c r="A10" s="109"/>
      <c r="B10" s="35"/>
      <c r="C10" s="33"/>
      <c r="D10" s="35"/>
      <c r="E10" s="33"/>
      <c r="F10" s="35"/>
      <c r="G10" s="33"/>
      <c r="H10" s="35"/>
      <c r="I10" s="33"/>
      <c r="J10" s="35"/>
      <c r="K10" s="33"/>
      <c r="L10" s="37"/>
      <c r="M10" s="37"/>
      <c r="N10" s="35"/>
      <c r="O10" s="33"/>
      <c r="P10" s="110"/>
      <c r="Q10" s="137"/>
    </row>
    <row r="11" spans="1:17" ht="17.25">
      <c r="A11" s="109" t="s">
        <v>98</v>
      </c>
      <c r="B11" s="32">
        <v>1347140</v>
      </c>
      <c r="C11" s="33">
        <f>67734.09+388788.59</f>
        <v>456522.68000000005</v>
      </c>
      <c r="D11" s="32">
        <v>81813</v>
      </c>
      <c r="E11" s="33">
        <f>3827.3+5498.11</f>
        <v>9325.41</v>
      </c>
      <c r="F11" s="32">
        <f>931043-200000</f>
        <v>731043</v>
      </c>
      <c r="G11" s="33">
        <f>31819.45+108745.87</f>
        <v>140565.32</v>
      </c>
      <c r="H11" s="32">
        <v>413407</v>
      </c>
      <c r="I11" s="33">
        <f>5590.46+29788.57</f>
        <v>35379.03</v>
      </c>
      <c r="J11" s="32">
        <v>343140</v>
      </c>
      <c r="K11" s="33">
        <v>0</v>
      </c>
      <c r="L11" s="32">
        <v>20000</v>
      </c>
      <c r="M11" s="37">
        <v>15600</v>
      </c>
      <c r="N11" s="32">
        <v>0</v>
      </c>
      <c r="O11" s="33">
        <v>119293.45</v>
      </c>
      <c r="P11" s="110">
        <f>+O11+K11+I11+G11+E11+C11+M11</f>
        <v>776685.89</v>
      </c>
      <c r="Q11" s="137">
        <f>+B11+D11+F11+H11+J11+N11-P11+L11</f>
        <v>2159857.11</v>
      </c>
    </row>
    <row r="12" spans="1:17" ht="18" thickBot="1">
      <c r="A12" s="120" t="s">
        <v>11</v>
      </c>
      <c r="B12" s="115">
        <f aca="true" t="shared" si="0" ref="B12:I12">SUM(B7:B11)</f>
        <v>3020107</v>
      </c>
      <c r="C12" s="116">
        <f>SUM(C7:C11)</f>
        <v>1177169.34</v>
      </c>
      <c r="D12" s="115">
        <f t="shared" si="0"/>
        <v>91813</v>
      </c>
      <c r="E12" s="116">
        <f t="shared" si="0"/>
        <v>33008.020000000004</v>
      </c>
      <c r="F12" s="115">
        <f t="shared" si="0"/>
        <v>1209108</v>
      </c>
      <c r="G12" s="116">
        <f t="shared" si="0"/>
        <v>609609.25</v>
      </c>
      <c r="H12" s="115">
        <f t="shared" si="0"/>
        <v>804952</v>
      </c>
      <c r="I12" s="116">
        <f t="shared" si="0"/>
        <v>595590.83</v>
      </c>
      <c r="J12" s="115">
        <f>SUM(J7:J11)</f>
        <v>1145640</v>
      </c>
      <c r="K12" s="116">
        <f>SUM(K7:K11)</f>
        <v>827126.72</v>
      </c>
      <c r="L12" s="115">
        <f aca="true" t="shared" si="1" ref="L12:Q12">SUM(L7:L11)</f>
        <v>20000</v>
      </c>
      <c r="M12" s="117">
        <f t="shared" si="1"/>
        <v>47938.369999999995</v>
      </c>
      <c r="N12" s="115">
        <f t="shared" si="1"/>
        <v>1200000</v>
      </c>
      <c r="O12" s="116">
        <f t="shared" si="1"/>
        <v>838460.3999999999</v>
      </c>
      <c r="P12" s="111">
        <f t="shared" si="1"/>
        <v>4128902.93</v>
      </c>
      <c r="Q12" s="138">
        <f t="shared" si="1"/>
        <v>3362717.07</v>
      </c>
    </row>
    <row r="13" spans="1:17" ht="18.75" thickBot="1" thickTop="1">
      <c r="A13" s="121" t="s">
        <v>30</v>
      </c>
      <c r="B13" s="112"/>
      <c r="C13" s="143">
        <f>+C12/B12</f>
        <v>0.3897773621927965</v>
      </c>
      <c r="D13" s="113"/>
      <c r="E13" s="143">
        <f>+E12/D12</f>
        <v>0.3595135765087733</v>
      </c>
      <c r="F13" s="113"/>
      <c r="G13" s="143">
        <f>+G12/F12</f>
        <v>0.5041809747350939</v>
      </c>
      <c r="H13" s="113"/>
      <c r="I13" s="143">
        <f>+I12/H12</f>
        <v>0.7399085038610997</v>
      </c>
      <c r="J13" s="113"/>
      <c r="K13" s="144">
        <f>+K12/J12</f>
        <v>0.7219778639014001</v>
      </c>
      <c r="L13" s="142"/>
      <c r="M13" s="144">
        <f>+M12/L12</f>
        <v>2.3969185</v>
      </c>
      <c r="N13" s="114"/>
      <c r="O13" s="145">
        <f>+O12/N12</f>
        <v>0.6987169999999999</v>
      </c>
      <c r="P13" s="48"/>
      <c r="Q13" s="5"/>
    </row>
    <row r="14" spans="1:17" ht="17.25" thickTop="1">
      <c r="A14" s="49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5"/>
    </row>
    <row r="15" ht="16.5">
      <c r="P15" s="5"/>
    </row>
    <row r="37" spans="1:6" ht="16.5">
      <c r="A37" s="53"/>
      <c r="B37" s="53"/>
      <c r="C37" s="53"/>
      <c r="D37" s="53"/>
      <c r="E37" s="53"/>
      <c r="F37" s="53"/>
    </row>
    <row r="39" spans="3:11" ht="16.5">
      <c r="C39" s="52"/>
      <c r="D39" s="5"/>
      <c r="E39" s="53"/>
      <c r="F39" s="53"/>
      <c r="K39" s="1" t="s">
        <v>85</v>
      </c>
    </row>
    <row r="40" spans="3:6" ht="16.5">
      <c r="C40" s="5"/>
      <c r="D40" s="5"/>
      <c r="E40" s="53"/>
      <c r="F40" s="53"/>
    </row>
    <row r="41" spans="3:6" ht="16.5">
      <c r="C41" s="5"/>
      <c r="D41" s="5"/>
      <c r="E41" s="53"/>
      <c r="F41" s="53"/>
    </row>
    <row r="42" spans="3:6" ht="16.5">
      <c r="C42" s="5"/>
      <c r="D42" s="5"/>
      <c r="E42" s="53"/>
      <c r="F42" s="53"/>
    </row>
    <row r="43" spans="3:6" ht="16.5">
      <c r="C43" s="5"/>
      <c r="D43" s="5"/>
      <c r="E43" s="53"/>
      <c r="F43" s="53"/>
    </row>
    <row r="44" spans="3:6" ht="16.5">
      <c r="C44" s="5"/>
      <c r="D44" s="5"/>
      <c r="E44" s="53"/>
      <c r="F44" s="53"/>
    </row>
    <row r="46" spans="1:3" ht="17.25">
      <c r="A46" s="21" t="s">
        <v>26</v>
      </c>
      <c r="B46" s="54" t="s">
        <v>27</v>
      </c>
      <c r="C46" s="21" t="s">
        <v>28</v>
      </c>
    </row>
    <row r="47" spans="1:3" ht="17.25">
      <c r="A47" s="55">
        <f>+B12</f>
        <v>3020107</v>
      </c>
      <c r="B47" s="52">
        <f>+C12</f>
        <v>1177169.34</v>
      </c>
      <c r="C47" s="21" t="s">
        <v>1</v>
      </c>
    </row>
    <row r="48" spans="1:3" ht="17.25">
      <c r="A48" s="55">
        <f>+D12</f>
        <v>91813</v>
      </c>
      <c r="B48" s="52">
        <f>+E12</f>
        <v>33008.020000000004</v>
      </c>
      <c r="C48" s="21" t="s">
        <v>2</v>
      </c>
    </row>
    <row r="49" spans="1:3" ht="17.25">
      <c r="A49" s="55">
        <f>+F12</f>
        <v>1209108</v>
      </c>
      <c r="B49" s="52">
        <f>+G12</f>
        <v>609609.25</v>
      </c>
      <c r="C49" s="21" t="s">
        <v>3</v>
      </c>
    </row>
    <row r="50" spans="1:3" ht="17.25">
      <c r="A50" s="55">
        <f>+H12</f>
        <v>804952</v>
      </c>
      <c r="B50" s="52">
        <f>+I12</f>
        <v>595590.83</v>
      </c>
      <c r="C50" s="21" t="s">
        <v>34</v>
      </c>
    </row>
    <row r="51" spans="1:3" ht="17.25">
      <c r="A51" s="55">
        <f>+J12</f>
        <v>1145640</v>
      </c>
      <c r="B51" s="52">
        <f>+K12</f>
        <v>827126.72</v>
      </c>
      <c r="C51" s="21" t="s">
        <v>32</v>
      </c>
    </row>
    <row r="52" spans="1:3" ht="17.25">
      <c r="A52" s="55">
        <f>+L12</f>
        <v>20000</v>
      </c>
      <c r="B52" s="52">
        <f>+M12</f>
        <v>47938.369999999995</v>
      </c>
      <c r="C52" s="21" t="s">
        <v>95</v>
      </c>
    </row>
    <row r="53" spans="1:3" ht="17.25">
      <c r="A53" s="55">
        <f>+N12</f>
        <v>1200000</v>
      </c>
      <c r="B53" s="52">
        <f>+O12</f>
        <v>838460.3999999999</v>
      </c>
      <c r="C53" s="21" t="s">
        <v>35</v>
      </c>
    </row>
    <row r="55" spans="1:2" ht="16.5">
      <c r="A55" s="55"/>
      <c r="B55" s="52"/>
    </row>
  </sheetData>
  <sheetProtection/>
  <mergeCells count="9">
    <mergeCell ref="L2:M2"/>
    <mergeCell ref="B2:E2"/>
    <mergeCell ref="B3:C3"/>
    <mergeCell ref="N5:O5"/>
    <mergeCell ref="J5:K5"/>
    <mergeCell ref="B5:C5"/>
    <mergeCell ref="D5:E5"/>
    <mergeCell ref="F5:G5"/>
    <mergeCell ref="H5:I5"/>
  </mergeCells>
  <printOptions/>
  <pageMargins left="0.71" right="0.3" top="1.06" bottom="0.55" header="0.34" footer="0"/>
  <pageSetup horizontalDpi="600" verticalDpi="600" orientation="landscape" paperSize="5" r:id="rId2"/>
  <headerFooter alignWithMargins="0">
    <oddHeader>&amp;R&amp;"Palatino Linotype,Normal"&amp;10CONTADURIA MUNICIPAL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54"/>
  <sheetViews>
    <sheetView zoomScalePageLayoutView="0" workbookViewId="0" topLeftCell="A1">
      <selection activeCell="P12" sqref="P12"/>
    </sheetView>
  </sheetViews>
  <sheetFormatPr defaultColWidth="11.421875" defaultRowHeight="15"/>
  <cols>
    <col min="1" max="1" width="15.140625" style="1" customWidth="1"/>
    <col min="2" max="2" width="9.28125" style="1" customWidth="1"/>
    <col min="3" max="3" width="10.28125" style="1" customWidth="1"/>
    <col min="4" max="4" width="8.421875" style="1" customWidth="1"/>
    <col min="5" max="5" width="9.7109375" style="1" customWidth="1"/>
    <col min="6" max="6" width="9.57421875" style="1" customWidth="1"/>
    <col min="7" max="7" width="10.57421875" style="1" customWidth="1"/>
    <col min="8" max="8" width="8.00390625" style="1" customWidth="1"/>
    <col min="9" max="9" width="10.8515625" style="1" customWidth="1"/>
    <col min="10" max="10" width="7.421875" style="1" customWidth="1"/>
    <col min="11" max="11" width="9.7109375" style="1" customWidth="1"/>
    <col min="12" max="12" width="7.57421875" style="1" customWidth="1"/>
    <col min="13" max="13" width="10.00390625" style="1" customWidth="1"/>
    <col min="14" max="14" width="8.28125" style="1" customWidth="1"/>
    <col min="15" max="15" width="10.28125" style="1" customWidth="1"/>
    <col min="16" max="17" width="12.00390625" style="1" customWidth="1"/>
    <col min="18" max="18" width="11.8515625" style="1" bestFit="1" customWidth="1"/>
    <col min="19" max="16384" width="11.421875" style="1" customWidth="1"/>
  </cols>
  <sheetData>
    <row r="2" spans="1:15" ht="18">
      <c r="A2" s="146" t="s">
        <v>0</v>
      </c>
      <c r="B2" s="165" t="s">
        <v>115</v>
      </c>
      <c r="C2" s="184"/>
      <c r="D2" s="184"/>
      <c r="E2" s="185"/>
      <c r="F2" s="185"/>
      <c r="G2" s="178"/>
      <c r="K2" s="186" t="s">
        <v>23</v>
      </c>
      <c r="L2" s="186"/>
      <c r="M2" s="150">
        <v>41030</v>
      </c>
      <c r="O2" s="56"/>
    </row>
    <row r="3" spans="2:4" ht="16.5">
      <c r="B3" s="182"/>
      <c r="C3" s="183"/>
      <c r="D3" s="183"/>
    </row>
    <row r="4" ht="17.25" thickBot="1"/>
    <row r="5" spans="1:17" ht="17.25">
      <c r="A5" s="25"/>
      <c r="B5" s="172" t="s">
        <v>1</v>
      </c>
      <c r="C5" s="173"/>
      <c r="D5" s="172" t="s">
        <v>2</v>
      </c>
      <c r="E5" s="173"/>
      <c r="F5" s="172" t="s">
        <v>3</v>
      </c>
      <c r="G5" s="173"/>
      <c r="H5" s="172" t="s">
        <v>4</v>
      </c>
      <c r="I5" s="173"/>
      <c r="J5" s="172" t="s">
        <v>32</v>
      </c>
      <c r="K5" s="173"/>
      <c r="L5" s="172" t="s">
        <v>36</v>
      </c>
      <c r="M5" s="173"/>
      <c r="N5" s="172" t="s">
        <v>33</v>
      </c>
      <c r="O5" s="173"/>
      <c r="P5" s="26" t="s">
        <v>5</v>
      </c>
      <c r="Q5" s="26" t="s">
        <v>38</v>
      </c>
    </row>
    <row r="6" spans="1:17" ht="17.25">
      <c r="A6" s="27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6" t="s">
        <v>25</v>
      </c>
      <c r="Q6" s="30" t="s">
        <v>39</v>
      </c>
    </row>
    <row r="7" spans="1:17" ht="17.25">
      <c r="A7" s="97"/>
      <c r="B7" s="159"/>
      <c r="C7" s="160"/>
      <c r="D7" s="159"/>
      <c r="E7" s="160"/>
      <c r="F7" s="159"/>
      <c r="G7" s="160"/>
      <c r="H7" s="159"/>
      <c r="I7" s="160"/>
      <c r="J7" s="159"/>
      <c r="K7" s="160"/>
      <c r="L7" s="159"/>
      <c r="M7" s="159"/>
      <c r="N7" s="159"/>
      <c r="O7" s="160"/>
      <c r="P7" s="161"/>
      <c r="Q7" s="162"/>
    </row>
    <row r="8" spans="1:18" ht="17.25">
      <c r="A8" s="31" t="s">
        <v>120</v>
      </c>
      <c r="B8" s="32">
        <v>2168786</v>
      </c>
      <c r="C8" s="33">
        <f>30993.01+23401.57+174730+293095.48+6214.98+8033.13+98095.53+112105.91+14006.15+14743.38+17112.52+21276.16+5659.21+7327.68+1265.85+3392.19+11198.87+15624.69+23473.25+31980.98</f>
        <v>913730.54</v>
      </c>
      <c r="D8" s="32">
        <v>106607</v>
      </c>
      <c r="E8" s="33">
        <f>12714.65+13139.18+297.91+320.5+706</f>
        <v>27178.24</v>
      </c>
      <c r="F8" s="32">
        <v>1004165</v>
      </c>
      <c r="G8" s="33">
        <f>1502.92+12902.1+162537.21+373663.31+850+823.36+11816.34+22258.73+850*2+8349+17800.54+499+1051+2160+3077.15</f>
        <v>620990.66</v>
      </c>
      <c r="H8" s="32">
        <v>623000</v>
      </c>
      <c r="I8" s="33">
        <f>4000+44308.1+106233.45</f>
        <v>154541.55</v>
      </c>
      <c r="J8" s="32">
        <v>50000</v>
      </c>
      <c r="K8" s="33">
        <f>6671+290+304</f>
        <v>7265</v>
      </c>
      <c r="L8" s="32">
        <v>0</v>
      </c>
      <c r="M8" s="37">
        <f>368.03+1383.52</f>
        <v>1751.55</v>
      </c>
      <c r="N8" s="32">
        <f>290000+600000</f>
        <v>890000</v>
      </c>
      <c r="O8" s="33">
        <f>1113.94+323665.78</f>
        <v>324779.72000000003</v>
      </c>
      <c r="P8" s="34">
        <f>+O8+M8+K8+I8+G8+E8+C8</f>
        <v>2050237.26</v>
      </c>
      <c r="Q8" s="34">
        <f>+B8+D8+F8+H8+J8+N8+L8-P8</f>
        <v>2792320.74</v>
      </c>
      <c r="R8" s="5"/>
    </row>
    <row r="9" spans="1:18" ht="17.25">
      <c r="A9" s="31"/>
      <c r="B9" s="32"/>
      <c r="C9" s="33"/>
      <c r="D9" s="32"/>
      <c r="E9" s="33"/>
      <c r="F9" s="32"/>
      <c r="G9" s="33"/>
      <c r="H9" s="32"/>
      <c r="I9" s="33"/>
      <c r="J9" s="32"/>
      <c r="K9" s="33"/>
      <c r="L9" s="32"/>
      <c r="M9" s="37"/>
      <c r="N9" s="32"/>
      <c r="O9" s="33"/>
      <c r="P9" s="34"/>
      <c r="Q9" s="34"/>
      <c r="R9" s="5"/>
    </row>
    <row r="10" spans="1:18" ht="18" thickBot="1">
      <c r="A10" s="38" t="s">
        <v>11</v>
      </c>
      <c r="B10" s="39">
        <f aca="true" t="shared" si="0" ref="B10:Q10">SUM(B8:B9)</f>
        <v>2168786</v>
      </c>
      <c r="C10" s="40">
        <f t="shared" si="0"/>
        <v>913730.54</v>
      </c>
      <c r="D10" s="39">
        <f t="shared" si="0"/>
        <v>106607</v>
      </c>
      <c r="E10" s="40">
        <f t="shared" si="0"/>
        <v>27178.24</v>
      </c>
      <c r="F10" s="39">
        <f t="shared" si="0"/>
        <v>1004165</v>
      </c>
      <c r="G10" s="40">
        <f t="shared" si="0"/>
        <v>620990.66</v>
      </c>
      <c r="H10" s="39">
        <f t="shared" si="0"/>
        <v>623000</v>
      </c>
      <c r="I10" s="40">
        <f t="shared" si="0"/>
        <v>154541.55</v>
      </c>
      <c r="J10" s="39">
        <f t="shared" si="0"/>
        <v>50000</v>
      </c>
      <c r="K10" s="40">
        <f t="shared" si="0"/>
        <v>7265</v>
      </c>
      <c r="L10" s="39">
        <f t="shared" si="0"/>
        <v>0</v>
      </c>
      <c r="M10" s="40">
        <f t="shared" si="0"/>
        <v>1751.55</v>
      </c>
      <c r="N10" s="39">
        <f t="shared" si="0"/>
        <v>890000</v>
      </c>
      <c r="O10" s="40">
        <f t="shared" si="0"/>
        <v>324779.72000000003</v>
      </c>
      <c r="P10" s="42">
        <f t="shared" si="0"/>
        <v>2050237.26</v>
      </c>
      <c r="Q10" s="42">
        <f t="shared" si="0"/>
        <v>2792320.74</v>
      </c>
      <c r="R10" s="5"/>
    </row>
    <row r="11" spans="1:17" ht="17.25" thickBot="1">
      <c r="A11" s="43" t="s">
        <v>30</v>
      </c>
      <c r="B11" s="44"/>
      <c r="C11" s="139">
        <f>+C10/B10</f>
        <v>0.42130968200643126</v>
      </c>
      <c r="D11" s="139"/>
      <c r="E11" s="139">
        <f>+E10/D10</f>
        <v>0.2549386062828895</v>
      </c>
      <c r="F11" s="139"/>
      <c r="G11" s="139">
        <f>+G10/F10</f>
        <v>0.6184149616845838</v>
      </c>
      <c r="H11" s="139"/>
      <c r="I11" s="139">
        <f>+I10/H10</f>
        <v>0.2480602728731942</v>
      </c>
      <c r="J11" s="139"/>
      <c r="K11" s="139">
        <f>+K10/J10</f>
        <v>0.1453</v>
      </c>
      <c r="L11" s="147"/>
      <c r="M11" s="139"/>
      <c r="N11" s="149"/>
      <c r="O11" s="141"/>
      <c r="P11" s="58"/>
      <c r="Q11" s="5"/>
    </row>
    <row r="12" spans="1:17" ht="16.5">
      <c r="A12" s="49"/>
      <c r="B12" s="49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140"/>
      <c r="Q12" s="5"/>
    </row>
    <row r="13" spans="1:16" ht="16.5">
      <c r="A13" s="49"/>
      <c r="B13" s="49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</row>
    <row r="14" ht="16.5">
      <c r="Q14" s="1" t="s">
        <v>130</v>
      </c>
    </row>
    <row r="30" spans="5:8" ht="16.5">
      <c r="E30" s="59"/>
      <c r="F30" s="59"/>
      <c r="G30" s="60"/>
      <c r="H30" s="60"/>
    </row>
    <row r="31" spans="5:8" ht="16.5">
      <c r="E31" s="61"/>
      <c r="F31" s="61"/>
      <c r="G31" s="61"/>
      <c r="H31" s="61"/>
    </row>
    <row r="36" spans="1:6" ht="16.5">
      <c r="A36" s="53"/>
      <c r="B36" s="53"/>
      <c r="C36" s="53"/>
      <c r="D36" s="53"/>
      <c r="E36" s="53"/>
      <c r="F36" s="53"/>
    </row>
    <row r="37" ht="16.5">
      <c r="C37" s="48"/>
    </row>
    <row r="38" spans="3:6" ht="16.5">
      <c r="C38" s="52"/>
      <c r="D38" s="5"/>
      <c r="E38" s="53"/>
      <c r="F38" s="53"/>
    </row>
    <row r="39" spans="3:6" ht="16.5">
      <c r="C39" s="52"/>
      <c r="D39" s="5"/>
      <c r="E39" s="53"/>
      <c r="F39" s="53"/>
    </row>
    <row r="40" spans="3:6" ht="16.5">
      <c r="C40" s="52"/>
      <c r="D40" s="5"/>
      <c r="E40" s="53"/>
      <c r="F40" s="53"/>
    </row>
    <row r="41" spans="3:6" ht="16.5">
      <c r="C41" s="52"/>
      <c r="D41" s="5"/>
      <c r="E41" s="53"/>
      <c r="F41" s="53"/>
    </row>
    <row r="42" spans="3:6" ht="16.5">
      <c r="C42" s="52"/>
      <c r="D42" s="5"/>
      <c r="E42" s="53"/>
      <c r="F42" s="53"/>
    </row>
    <row r="43" spans="3:6" ht="16.5">
      <c r="C43" s="52"/>
      <c r="D43" s="5"/>
      <c r="E43" s="53"/>
      <c r="F43" s="53"/>
    </row>
    <row r="45" spans="1:5" ht="16.5">
      <c r="A45" s="62" t="s">
        <v>26</v>
      </c>
      <c r="B45" s="62" t="s">
        <v>27</v>
      </c>
      <c r="C45" s="62" t="s">
        <v>28</v>
      </c>
      <c r="D45" s="62"/>
      <c r="E45" s="63"/>
    </row>
    <row r="46" spans="1:3" ht="17.25">
      <c r="A46" s="64">
        <f>+B10</f>
        <v>2168786</v>
      </c>
      <c r="B46" s="65">
        <f>+C10</f>
        <v>913730.54</v>
      </c>
      <c r="C46" s="62" t="s">
        <v>1</v>
      </c>
    </row>
    <row r="47" spans="1:3" ht="17.25">
      <c r="A47" s="64">
        <f>+D10</f>
        <v>106607</v>
      </c>
      <c r="B47" s="65">
        <f>+E10</f>
        <v>27178.24</v>
      </c>
      <c r="C47" s="62" t="s">
        <v>2</v>
      </c>
    </row>
    <row r="48" spans="1:3" ht="17.25">
      <c r="A48" s="64">
        <f>+F10</f>
        <v>1004165</v>
      </c>
      <c r="B48" s="65">
        <f>+G10</f>
        <v>620990.66</v>
      </c>
      <c r="C48" s="62" t="s">
        <v>3</v>
      </c>
    </row>
    <row r="49" spans="1:3" ht="17.25">
      <c r="A49" s="64">
        <f>+H10</f>
        <v>623000</v>
      </c>
      <c r="B49" s="65">
        <f>+I10</f>
        <v>154541.55</v>
      </c>
      <c r="C49" s="62" t="s">
        <v>34</v>
      </c>
    </row>
    <row r="50" spans="1:3" ht="17.25">
      <c r="A50" s="64">
        <f>+J10</f>
        <v>50000</v>
      </c>
      <c r="B50" s="65">
        <f>+K10</f>
        <v>7265</v>
      </c>
      <c r="C50" s="62" t="s">
        <v>32</v>
      </c>
    </row>
    <row r="51" spans="1:3" ht="17.25">
      <c r="A51" s="66">
        <f>+L10</f>
        <v>0</v>
      </c>
      <c r="B51" s="65">
        <f>+M10</f>
        <v>1751.55</v>
      </c>
      <c r="C51" s="62" t="s">
        <v>100</v>
      </c>
    </row>
    <row r="52" spans="1:3" ht="17.25">
      <c r="A52" s="64">
        <f>+N10</f>
        <v>890000</v>
      </c>
      <c r="B52" s="65">
        <f>+O10</f>
        <v>324779.72000000003</v>
      </c>
      <c r="C52" s="62" t="s">
        <v>35</v>
      </c>
    </row>
    <row r="53" spans="1:3" ht="17.25">
      <c r="A53" s="64"/>
      <c r="B53" s="64"/>
      <c r="C53" s="62"/>
    </row>
    <row r="54" spans="1:2" ht="16.5">
      <c r="A54" s="1">
        <v>2809993</v>
      </c>
      <c r="B54" s="5">
        <v>749308.3</v>
      </c>
    </row>
  </sheetData>
  <sheetProtection/>
  <mergeCells count="10">
    <mergeCell ref="B2:G2"/>
    <mergeCell ref="B3:D3"/>
    <mergeCell ref="J5:K5"/>
    <mergeCell ref="N5:O5"/>
    <mergeCell ref="B5:C5"/>
    <mergeCell ref="D5:E5"/>
    <mergeCell ref="F5:G5"/>
    <mergeCell ref="H5:I5"/>
    <mergeCell ref="L5:M5"/>
    <mergeCell ref="K2:L2"/>
  </mergeCells>
  <printOptions/>
  <pageMargins left="0.7874015748031497" right="0.59" top="0.88" bottom="0.4330708661417323" header="0.2" footer="0"/>
  <pageSetup horizontalDpi="300" verticalDpi="300" orientation="landscape" paperSize="5" r:id="rId2"/>
  <headerFooter alignWithMargins="0">
    <oddHeader>&amp;RCONTADURIA MUNICIPAL</oddHeader>
    <oddFooter>&amp;L&amp;D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56"/>
  <sheetViews>
    <sheetView tabSelected="1" zoomScalePageLayoutView="0" workbookViewId="0" topLeftCell="A1">
      <selection activeCell="P15" sqref="P15"/>
    </sheetView>
  </sheetViews>
  <sheetFormatPr defaultColWidth="11.421875" defaultRowHeight="15"/>
  <cols>
    <col min="1" max="1" width="16.00390625" style="1" customWidth="1"/>
    <col min="2" max="2" width="9.28125" style="1" customWidth="1"/>
    <col min="3" max="3" width="10.57421875" style="1" customWidth="1"/>
    <col min="4" max="4" width="6.8515625" style="1" customWidth="1"/>
    <col min="5" max="5" width="9.28125" style="1" customWidth="1"/>
    <col min="6" max="6" width="9.421875" style="1" customWidth="1"/>
    <col min="7" max="7" width="11.140625" style="1" customWidth="1"/>
    <col min="8" max="8" width="9.140625" style="1" customWidth="1"/>
    <col min="9" max="9" width="10.421875" style="1" customWidth="1"/>
    <col min="10" max="10" width="6.8515625" style="1" customWidth="1"/>
    <col min="11" max="11" width="10.57421875" style="1" customWidth="1"/>
    <col min="12" max="12" width="7.8515625" style="1" customWidth="1"/>
    <col min="13" max="13" width="9.7109375" style="1" customWidth="1"/>
    <col min="14" max="14" width="7.8515625" style="1" customWidth="1"/>
    <col min="15" max="15" width="10.57421875" style="1" customWidth="1"/>
    <col min="16" max="17" width="12.00390625" style="1" customWidth="1"/>
    <col min="18" max="18" width="11.7109375" style="1" bestFit="1" customWidth="1"/>
    <col min="19" max="16384" width="11.421875" style="1" customWidth="1"/>
  </cols>
  <sheetData>
    <row r="2" spans="1:15" ht="18">
      <c r="A2" s="146" t="s">
        <v>0</v>
      </c>
      <c r="B2" s="165" t="s">
        <v>116</v>
      </c>
      <c r="C2" s="184"/>
      <c r="D2" s="184"/>
      <c r="E2" s="185"/>
      <c r="F2" s="185"/>
      <c r="G2" s="178"/>
      <c r="K2" s="187" t="s">
        <v>23</v>
      </c>
      <c r="L2" s="188"/>
      <c r="M2" s="150">
        <v>41030</v>
      </c>
      <c r="O2" s="56"/>
    </row>
    <row r="3" spans="2:4" ht="16.5">
      <c r="B3" s="182"/>
      <c r="C3" s="183"/>
      <c r="D3" s="183"/>
    </row>
    <row r="4" ht="17.25" thickBot="1"/>
    <row r="5" spans="1:17" ht="17.25">
      <c r="A5" s="25"/>
      <c r="B5" s="172" t="s">
        <v>1</v>
      </c>
      <c r="C5" s="173"/>
      <c r="D5" s="172" t="s">
        <v>2</v>
      </c>
      <c r="E5" s="173"/>
      <c r="F5" s="172" t="s">
        <v>3</v>
      </c>
      <c r="G5" s="173"/>
      <c r="H5" s="172" t="s">
        <v>4</v>
      </c>
      <c r="I5" s="173"/>
      <c r="J5" s="172" t="s">
        <v>32</v>
      </c>
      <c r="K5" s="173"/>
      <c r="L5" s="172" t="s">
        <v>36</v>
      </c>
      <c r="M5" s="173"/>
      <c r="N5" s="172" t="s">
        <v>33</v>
      </c>
      <c r="O5" s="173"/>
      <c r="P5" s="26" t="s">
        <v>5</v>
      </c>
      <c r="Q5" s="26" t="s">
        <v>38</v>
      </c>
    </row>
    <row r="6" spans="1:17" ht="17.25">
      <c r="A6" s="27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6" t="s">
        <v>25</v>
      </c>
      <c r="Q6" s="30" t="s">
        <v>39</v>
      </c>
    </row>
    <row r="7" spans="1:17" ht="17.25">
      <c r="A7" s="97"/>
      <c r="B7" s="159"/>
      <c r="C7" s="160"/>
      <c r="D7" s="159"/>
      <c r="E7" s="160"/>
      <c r="F7" s="159"/>
      <c r="G7" s="160"/>
      <c r="H7" s="159"/>
      <c r="I7" s="160"/>
      <c r="J7" s="159"/>
      <c r="K7" s="160"/>
      <c r="L7" s="159"/>
      <c r="M7" s="159"/>
      <c r="N7" s="159"/>
      <c r="O7" s="160"/>
      <c r="P7" s="161"/>
      <c r="Q7" s="162"/>
    </row>
    <row r="8" spans="1:18" ht="17.25">
      <c r="A8" s="31" t="s">
        <v>120</v>
      </c>
      <c r="B8" s="32">
        <v>1981603</v>
      </c>
      <c r="C8" s="33">
        <f>28779.11+30212.7+293755.85+451240.14+32912.67+40279.98+17837.59+25635.75</f>
        <v>920653.79</v>
      </c>
      <c r="D8" s="32">
        <v>51600</v>
      </c>
      <c r="E8" s="33">
        <f>5329.49+10617.66</f>
        <v>15947.15</v>
      </c>
      <c r="F8" s="32">
        <v>1824200</v>
      </c>
      <c r="G8" s="33">
        <f>-525.99+8626.63+189021.11+451062.75+2400+4080+1556+5532</f>
        <v>661752.5</v>
      </c>
      <c r="H8" s="32">
        <v>1115000</v>
      </c>
      <c r="I8" s="33">
        <f>92823.05+677959.65</f>
        <v>770782.7000000001</v>
      </c>
      <c r="J8" s="32">
        <v>10000</v>
      </c>
      <c r="K8" s="33">
        <v>247744.89</v>
      </c>
      <c r="L8" s="32">
        <v>0</v>
      </c>
      <c r="M8" s="37">
        <f>3000+2351.4</f>
        <v>5351.4</v>
      </c>
      <c r="N8" s="32">
        <f>250000+600000</f>
        <v>850000</v>
      </c>
      <c r="O8" s="33">
        <f>6799.78+346330.58</f>
        <v>353130.36000000004</v>
      </c>
      <c r="P8" s="34">
        <f>+C8+E8+G8+I8+K8+O8+M8</f>
        <v>2975362.79</v>
      </c>
      <c r="Q8" s="34">
        <f>+B8+D8+F8+H8+J8+N8+L8-P8</f>
        <v>2857040.21</v>
      </c>
      <c r="R8" s="5"/>
    </row>
    <row r="9" spans="1:18" ht="17.25" hidden="1">
      <c r="A9" s="31" t="s">
        <v>121</v>
      </c>
      <c r="B9" s="32">
        <v>0</v>
      </c>
      <c r="C9" s="33"/>
      <c r="D9" s="32">
        <v>0</v>
      </c>
      <c r="E9" s="33"/>
      <c r="F9" s="32">
        <v>0</v>
      </c>
      <c r="G9" s="33"/>
      <c r="H9" s="32">
        <v>0</v>
      </c>
      <c r="I9" s="33"/>
      <c r="J9" s="32">
        <v>0</v>
      </c>
      <c r="K9" s="33"/>
      <c r="L9" s="32">
        <v>0</v>
      </c>
      <c r="M9" s="37"/>
      <c r="N9" s="32">
        <v>0</v>
      </c>
      <c r="O9" s="33"/>
      <c r="P9" s="34">
        <f>+C9+E9+G9+I9+K9+O9</f>
        <v>0</v>
      </c>
      <c r="Q9" s="34">
        <f>+B9+D9+F9+H9+J9+N9-P9</f>
        <v>0</v>
      </c>
      <c r="R9" s="5"/>
    </row>
    <row r="10" spans="1:18" ht="17.25" hidden="1">
      <c r="A10" s="31" t="s">
        <v>122</v>
      </c>
      <c r="B10" s="32">
        <v>0</v>
      </c>
      <c r="C10" s="33"/>
      <c r="D10" s="35">
        <v>0</v>
      </c>
      <c r="E10" s="33"/>
      <c r="F10" s="32">
        <v>0</v>
      </c>
      <c r="G10" s="33"/>
      <c r="H10" s="32">
        <v>0</v>
      </c>
      <c r="I10" s="33"/>
      <c r="J10" s="35">
        <v>0</v>
      </c>
      <c r="K10" s="33"/>
      <c r="L10" s="32">
        <v>0</v>
      </c>
      <c r="M10" s="37"/>
      <c r="N10" s="32">
        <v>0</v>
      </c>
      <c r="O10" s="33"/>
      <c r="P10" s="34">
        <f>+C10+E10+G10+I10+K10+O10</f>
        <v>0</v>
      </c>
      <c r="Q10" s="34">
        <f>+B10+D10+F10+H10+J10+N10-P10</f>
        <v>0</v>
      </c>
      <c r="R10" s="5"/>
    </row>
    <row r="11" spans="1:18" ht="14.25" customHeight="1">
      <c r="A11" s="31"/>
      <c r="B11" s="32"/>
      <c r="C11" s="33"/>
      <c r="D11" s="35"/>
      <c r="E11" s="33"/>
      <c r="F11" s="32"/>
      <c r="G11" s="33"/>
      <c r="H11" s="32"/>
      <c r="I11" s="33"/>
      <c r="J11" s="35"/>
      <c r="K11" s="33"/>
      <c r="L11" s="37"/>
      <c r="M11" s="37"/>
      <c r="N11" s="32"/>
      <c r="O11" s="33"/>
      <c r="P11" s="34"/>
      <c r="Q11" s="34"/>
      <c r="R11" s="5"/>
    </row>
    <row r="12" spans="1:18" ht="18" thickBot="1">
      <c r="A12" s="38" t="s">
        <v>11</v>
      </c>
      <c r="B12" s="39">
        <f aca="true" t="shared" si="0" ref="B12:Q12">SUM(B8:B11)</f>
        <v>1981603</v>
      </c>
      <c r="C12" s="40">
        <f t="shared" si="0"/>
        <v>920653.79</v>
      </c>
      <c r="D12" s="39">
        <f t="shared" si="0"/>
        <v>51600</v>
      </c>
      <c r="E12" s="40">
        <f t="shared" si="0"/>
        <v>15947.15</v>
      </c>
      <c r="F12" s="39">
        <f t="shared" si="0"/>
        <v>1824200</v>
      </c>
      <c r="G12" s="40">
        <f t="shared" si="0"/>
        <v>661752.5</v>
      </c>
      <c r="H12" s="39">
        <f t="shared" si="0"/>
        <v>1115000</v>
      </c>
      <c r="I12" s="40">
        <f t="shared" si="0"/>
        <v>770782.7000000001</v>
      </c>
      <c r="J12" s="39">
        <f t="shared" si="0"/>
        <v>10000</v>
      </c>
      <c r="K12" s="40">
        <f t="shared" si="0"/>
        <v>247744.89</v>
      </c>
      <c r="L12" s="39">
        <f t="shared" si="0"/>
        <v>0</v>
      </c>
      <c r="M12" s="40">
        <f t="shared" si="0"/>
        <v>5351.4</v>
      </c>
      <c r="N12" s="39">
        <f t="shared" si="0"/>
        <v>850000</v>
      </c>
      <c r="O12" s="40">
        <f t="shared" si="0"/>
        <v>353130.36000000004</v>
      </c>
      <c r="P12" s="42">
        <f t="shared" si="0"/>
        <v>2975362.79</v>
      </c>
      <c r="Q12" s="42">
        <f t="shared" si="0"/>
        <v>2857040.21</v>
      </c>
      <c r="R12" s="5"/>
    </row>
    <row r="13" spans="1:17" ht="17.25" thickBot="1">
      <c r="A13" s="43" t="s">
        <v>30</v>
      </c>
      <c r="B13" s="44"/>
      <c r="C13" s="139">
        <f>+C12/B12</f>
        <v>0.46460052290998755</v>
      </c>
      <c r="D13" s="139"/>
      <c r="E13" s="139">
        <f>+E12/D12</f>
        <v>0.3090532945736434</v>
      </c>
      <c r="F13" s="139"/>
      <c r="G13" s="139">
        <f>+G12/F12</f>
        <v>0.3627631290428681</v>
      </c>
      <c r="H13" s="45"/>
      <c r="I13" s="139">
        <f>+I12/H12</f>
        <v>0.691284932735426</v>
      </c>
      <c r="J13" s="45"/>
      <c r="K13" s="46">
        <f>+K12/J12</f>
        <v>24.774489000000003</v>
      </c>
      <c r="L13" s="47"/>
      <c r="M13" s="147"/>
      <c r="N13" s="45"/>
      <c r="O13" s="141">
        <f>+O12/N12</f>
        <v>0.4154474823529412</v>
      </c>
      <c r="P13" s="58"/>
      <c r="Q13" s="5"/>
    </row>
    <row r="14" spans="1:17" ht="9" customHeight="1">
      <c r="A14" s="49"/>
      <c r="B14" s="49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"/>
    </row>
    <row r="15" spans="1:16" ht="16.5">
      <c r="A15" s="49"/>
      <c r="B15" s="4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140"/>
    </row>
    <row r="32" spans="5:8" ht="16.5">
      <c r="E32" s="59"/>
      <c r="F32" s="59"/>
      <c r="G32" s="60"/>
      <c r="H32" s="60"/>
    </row>
    <row r="33" spans="5:8" ht="16.5">
      <c r="E33" s="61"/>
      <c r="F33" s="61"/>
      <c r="G33" s="61"/>
      <c r="H33" s="61"/>
    </row>
    <row r="38" spans="1:6" ht="16.5">
      <c r="A38" s="53"/>
      <c r="B38" s="53"/>
      <c r="C38" s="53"/>
      <c r="D38" s="53"/>
      <c r="E38" s="53"/>
      <c r="F38" s="53"/>
    </row>
    <row r="39" ht="16.5">
      <c r="C39" s="48"/>
    </row>
    <row r="40" spans="3:6" ht="16.5">
      <c r="C40" s="52"/>
      <c r="D40" s="5"/>
      <c r="E40" s="53"/>
      <c r="F40" s="53"/>
    </row>
    <row r="41" spans="3:6" ht="16.5">
      <c r="C41" s="52"/>
      <c r="D41" s="5"/>
      <c r="E41" s="53"/>
      <c r="F41" s="53"/>
    </row>
    <row r="42" spans="3:6" ht="16.5">
      <c r="C42" s="52"/>
      <c r="D42" s="5"/>
      <c r="E42" s="53"/>
      <c r="F42" s="53"/>
    </row>
    <row r="43" spans="3:6" ht="16.5"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7" spans="1:5" ht="16.5">
      <c r="A47" s="62" t="s">
        <v>26</v>
      </c>
      <c r="B47" s="62" t="s">
        <v>27</v>
      </c>
      <c r="C47" s="62" t="s">
        <v>28</v>
      </c>
      <c r="D47" s="62"/>
      <c r="E47" s="63"/>
    </row>
    <row r="48" spans="1:3" ht="17.25">
      <c r="A48" s="64">
        <f>+B12</f>
        <v>1981603</v>
      </c>
      <c r="B48" s="65">
        <f>+C12</f>
        <v>920653.79</v>
      </c>
      <c r="C48" s="62" t="s">
        <v>1</v>
      </c>
    </row>
    <row r="49" spans="1:3" ht="17.25">
      <c r="A49" s="64">
        <f>+D12</f>
        <v>51600</v>
      </c>
      <c r="B49" s="65">
        <f>+E12</f>
        <v>15947.15</v>
      </c>
      <c r="C49" s="62" t="s">
        <v>2</v>
      </c>
    </row>
    <row r="50" spans="1:3" ht="17.25">
      <c r="A50" s="64">
        <f>+F12</f>
        <v>1824200</v>
      </c>
      <c r="B50" s="65">
        <f>+G12</f>
        <v>661752.5</v>
      </c>
      <c r="C50" s="62" t="s">
        <v>3</v>
      </c>
    </row>
    <row r="51" spans="1:3" ht="17.25">
      <c r="A51" s="64">
        <f>+H12</f>
        <v>1115000</v>
      </c>
      <c r="B51" s="65">
        <f>+I12</f>
        <v>770782.7000000001</v>
      </c>
      <c r="C51" s="62" t="s">
        <v>34</v>
      </c>
    </row>
    <row r="52" spans="1:3" ht="17.25">
      <c r="A52" s="64">
        <f>+J12</f>
        <v>10000</v>
      </c>
      <c r="B52" s="65">
        <f>+K12</f>
        <v>247744.89</v>
      </c>
      <c r="C52" s="62" t="s">
        <v>32</v>
      </c>
    </row>
    <row r="53" spans="1:3" ht="17.25">
      <c r="A53" s="66">
        <f>+L12</f>
        <v>0</v>
      </c>
      <c r="B53" s="65">
        <f>+M12</f>
        <v>5351.4</v>
      </c>
      <c r="C53" s="62" t="s">
        <v>100</v>
      </c>
    </row>
    <row r="54" spans="1:3" ht="17.25">
      <c r="A54" s="64">
        <f>+N12</f>
        <v>850000</v>
      </c>
      <c r="B54" s="65">
        <f>+O12</f>
        <v>353130.36000000004</v>
      </c>
      <c r="C54" s="62" t="s">
        <v>35</v>
      </c>
    </row>
    <row r="55" spans="1:3" ht="17.25">
      <c r="A55" s="64">
        <f>SUM(A48:A54)</f>
        <v>5832403</v>
      </c>
      <c r="B55" s="65">
        <f>SUM(B48:B54)</f>
        <v>2975362.79</v>
      </c>
      <c r="C55" s="62"/>
    </row>
    <row r="56" ht="16.5">
      <c r="B56" s="5"/>
    </row>
  </sheetData>
  <sheetProtection/>
  <mergeCells count="10">
    <mergeCell ref="B2:G2"/>
    <mergeCell ref="K2:L2"/>
    <mergeCell ref="B3:D3"/>
    <mergeCell ref="J5:K5"/>
    <mergeCell ref="N5:O5"/>
    <mergeCell ref="B5:C5"/>
    <mergeCell ref="D5:E5"/>
    <mergeCell ref="F5:G5"/>
    <mergeCell ref="H5:I5"/>
    <mergeCell ref="L5:M5"/>
  </mergeCells>
  <printOptions/>
  <pageMargins left="0.93" right="0.56" top="0.95" bottom="0.58" header="0.41" footer="0"/>
  <pageSetup horizontalDpi="600" verticalDpi="600" orientation="landscape" paperSize="5" r:id="rId2"/>
  <headerFooter alignWithMargins="0">
    <oddHeader>&amp;RCONTADURIA MUNICIPAL</oddHeader>
    <oddFooter>&amp;L&amp;D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C18" sqref="C18"/>
    </sheetView>
  </sheetViews>
  <sheetFormatPr defaultColWidth="11.421875" defaultRowHeight="15"/>
  <cols>
    <col min="1" max="1" width="20.57421875" style="1" customWidth="1"/>
    <col min="2" max="2" width="13.8515625" style="1" customWidth="1"/>
    <col min="3" max="3" width="13.140625" style="1" customWidth="1"/>
    <col min="4" max="4" width="8.57421875" style="1" customWidth="1"/>
    <col min="5" max="5" width="13.140625" style="1" customWidth="1"/>
    <col min="6" max="6" width="12.421875" style="1" customWidth="1"/>
    <col min="7" max="7" width="13.140625" style="1" customWidth="1"/>
    <col min="8" max="8" width="13.00390625" style="1" customWidth="1"/>
    <col min="9" max="9" width="12.7109375" style="1" customWidth="1"/>
    <col min="10" max="10" width="12.421875" style="1" customWidth="1"/>
    <col min="11" max="12" width="13.140625" style="1" customWidth="1"/>
    <col min="13" max="13" width="11.421875" style="1" customWidth="1"/>
    <col min="14" max="14" width="12.28125" style="1" bestFit="1" customWidth="1"/>
    <col min="15" max="16384" width="11.421875" style="1" customWidth="1"/>
  </cols>
  <sheetData>
    <row r="1" ht="16.5">
      <c r="A1" s="17" t="s">
        <v>41</v>
      </c>
    </row>
    <row r="2" spans="1:3" ht="18.75" thickBot="1">
      <c r="A2" s="18" t="s">
        <v>42</v>
      </c>
      <c r="C2" s="150">
        <v>41030</v>
      </c>
    </row>
    <row r="3" spans="1:12" ht="18" thickTop="1">
      <c r="A3" s="2" t="s">
        <v>43</v>
      </c>
      <c r="B3" s="153" t="s">
        <v>44</v>
      </c>
      <c r="C3" s="153" t="s">
        <v>25</v>
      </c>
      <c r="D3" s="153" t="s">
        <v>45</v>
      </c>
      <c r="E3" s="189" t="s">
        <v>46</v>
      </c>
      <c r="F3" s="190"/>
      <c r="G3" s="190"/>
      <c r="H3" s="190"/>
      <c r="I3" s="190"/>
      <c r="J3" s="190"/>
      <c r="K3" s="191"/>
      <c r="L3" s="155" t="s">
        <v>24</v>
      </c>
    </row>
    <row r="4" spans="1:12" ht="17.25">
      <c r="A4" s="3"/>
      <c r="B4" s="154" t="s">
        <v>47</v>
      </c>
      <c r="C4" s="154" t="s">
        <v>47</v>
      </c>
      <c r="D4" s="154" t="s">
        <v>48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49</v>
      </c>
      <c r="J4" s="4" t="s">
        <v>29</v>
      </c>
      <c r="K4" s="4" t="s">
        <v>35</v>
      </c>
      <c r="L4" s="156" t="s">
        <v>50</v>
      </c>
    </row>
    <row r="5" spans="1:12" ht="16.5">
      <c r="A5" s="157" t="s">
        <v>15</v>
      </c>
      <c r="B5" s="101">
        <f>+INT!P12+INT!Q12</f>
        <v>7491620</v>
      </c>
      <c r="C5" s="101">
        <f>SUM(E5:K5)</f>
        <v>4128902.93</v>
      </c>
      <c r="D5" s="102">
        <f>+C5/B5</f>
        <v>0.5511361935068784</v>
      </c>
      <c r="E5" s="101">
        <f>+INT!C12</f>
        <v>1177169.34</v>
      </c>
      <c r="F5" s="101">
        <f>+INT!E$12</f>
        <v>33008.020000000004</v>
      </c>
      <c r="G5" s="101">
        <f>+INT!G$12</f>
        <v>609609.25</v>
      </c>
      <c r="H5" s="101">
        <f>+INT!I$12</f>
        <v>595590.83</v>
      </c>
      <c r="I5" s="101">
        <f>+INT!K$12</f>
        <v>827126.72</v>
      </c>
      <c r="J5" s="101">
        <f>+INT!M12</f>
        <v>47938.369999999995</v>
      </c>
      <c r="K5" s="101">
        <f>+INT!O$12</f>
        <v>838460.3999999999</v>
      </c>
      <c r="L5" s="103">
        <f>+B5-C5</f>
        <v>3362717.07</v>
      </c>
    </row>
    <row r="6" spans="1:12" ht="16.5">
      <c r="A6" s="157" t="s">
        <v>16</v>
      </c>
      <c r="B6" s="101">
        <f>+GOB!P18+GOB!Q18</f>
        <v>11319609</v>
      </c>
      <c r="C6" s="101">
        <f>SUM(E6:K6)</f>
        <v>5602890.07</v>
      </c>
      <c r="D6" s="102">
        <f>+C6/B6</f>
        <v>0.4949720498296364</v>
      </c>
      <c r="E6" s="101">
        <f>+GOB!C18</f>
        <v>2492266.83</v>
      </c>
      <c r="F6" s="101">
        <f>+GOB!E18</f>
        <v>47755.979999999996</v>
      </c>
      <c r="G6" s="101">
        <f>+GOB!G18</f>
        <v>1571474.75</v>
      </c>
      <c r="H6" s="101">
        <f>+GOB!I18</f>
        <v>490530.1</v>
      </c>
      <c r="I6" s="101">
        <f>+GOB!K18</f>
        <v>20635.29</v>
      </c>
      <c r="J6" s="101">
        <f>+GOB!M18</f>
        <v>225974.36</v>
      </c>
      <c r="K6" s="101">
        <f>+GOB!O18</f>
        <v>754252.7599999999</v>
      </c>
      <c r="L6" s="103">
        <f>+B6-C6</f>
        <v>5716718.93</v>
      </c>
    </row>
    <row r="7" spans="1:12" ht="16.5">
      <c r="A7" s="157" t="s">
        <v>17</v>
      </c>
      <c r="B7" s="101">
        <f>+SEH!P14+SEH!Q14</f>
        <v>11858940</v>
      </c>
      <c r="C7" s="101">
        <f>SUM(E7:K7)</f>
        <v>4737670.75</v>
      </c>
      <c r="D7" s="102">
        <f>+C7/B7</f>
        <v>0.3995020423410524</v>
      </c>
      <c r="E7" s="101">
        <f>+SEH!C14</f>
        <v>2397799.56</v>
      </c>
      <c r="F7" s="101">
        <f>+SEH!E14</f>
        <v>744513.3200000001</v>
      </c>
      <c r="G7" s="101">
        <f>+SEH!G14</f>
        <v>977670.5800000001</v>
      </c>
      <c r="H7" s="101">
        <f>+SEH!I14</f>
        <v>0</v>
      </c>
      <c r="I7" s="101">
        <f>+SEH!K14</f>
        <v>44419.9</v>
      </c>
      <c r="J7" s="101">
        <f>+SEH!M14</f>
        <v>932.08</v>
      </c>
      <c r="K7" s="101">
        <f>+SEH!O14</f>
        <v>572335.31</v>
      </c>
      <c r="L7" s="103">
        <f>+B7-C7</f>
        <v>7121269.25</v>
      </c>
    </row>
    <row r="8" spans="1:12" ht="16.5">
      <c r="A8" s="157" t="s">
        <v>20</v>
      </c>
      <c r="B8" s="101">
        <f>+SAS!P13+SAS!Q13</f>
        <v>20213388</v>
      </c>
      <c r="C8" s="101">
        <f aca="true" t="shared" si="0" ref="C8:C15">SUM(E8:K8)</f>
        <v>10463512.39</v>
      </c>
      <c r="D8" s="102">
        <f aca="true" t="shared" si="1" ref="D8:D15">+C8/B8</f>
        <v>0.5176525770939538</v>
      </c>
      <c r="E8" s="101">
        <f>+SAS!C13</f>
        <v>4247133.36</v>
      </c>
      <c r="F8" s="101">
        <f>+SAS!E13</f>
        <v>74186.98</v>
      </c>
      <c r="G8" s="101">
        <f>+SAS!G13</f>
        <v>1756790.1400000001</v>
      </c>
      <c r="H8" s="101">
        <f>+SAS!I13</f>
        <v>2895642.1</v>
      </c>
      <c r="I8" s="101">
        <f>+SAS!K13</f>
        <v>35128.409999999996</v>
      </c>
      <c r="J8" s="101">
        <f>+SAS!M13</f>
        <v>6028.4</v>
      </c>
      <c r="K8" s="101">
        <f>+SAS!O13</f>
        <v>1448603</v>
      </c>
      <c r="L8" s="103">
        <f aca="true" t="shared" si="2" ref="L8:L15">+B8-C8</f>
        <v>9749875.61</v>
      </c>
    </row>
    <row r="9" spans="1:12" ht="16.5">
      <c r="A9" s="157" t="s">
        <v>18</v>
      </c>
      <c r="B9" s="101">
        <f>+SOP!P13+SOP!Q13</f>
        <v>16374140</v>
      </c>
      <c r="C9" s="101">
        <f t="shared" si="0"/>
        <v>14358339.420000002</v>
      </c>
      <c r="D9" s="102">
        <f t="shared" si="1"/>
        <v>0.876891208942882</v>
      </c>
      <c r="E9" s="101">
        <f>+SOP!C13</f>
        <v>1804867.37</v>
      </c>
      <c r="F9" s="101">
        <f>+SOP!E13</f>
        <v>102263.82</v>
      </c>
      <c r="G9" s="101">
        <f>+SOP!G13</f>
        <v>999547.49</v>
      </c>
      <c r="H9" s="101">
        <f>+SOP!I13</f>
        <v>8331.92</v>
      </c>
      <c r="I9" s="101">
        <f>+SOP!K13</f>
        <v>13111.13</v>
      </c>
      <c r="J9" s="101">
        <f>+SOP!M13</f>
        <v>6937387.58</v>
      </c>
      <c r="K9" s="101">
        <f>+SOP!O13</f>
        <v>4492830.11</v>
      </c>
      <c r="L9" s="103">
        <f t="shared" si="2"/>
        <v>2015800.5799999982</v>
      </c>
    </row>
    <row r="10" spans="1:12" ht="16.5">
      <c r="A10" s="157" t="s">
        <v>86</v>
      </c>
      <c r="B10" s="101">
        <f>+SFOI!P13+SFOI!Q13</f>
        <v>20789187</v>
      </c>
      <c r="C10" s="101">
        <f t="shared" si="0"/>
        <v>9230181.040000001</v>
      </c>
      <c r="D10" s="102">
        <f t="shared" si="1"/>
        <v>0.44398951435667017</v>
      </c>
      <c r="E10" s="101">
        <f>+SFOI!C13</f>
        <v>5113365.91</v>
      </c>
      <c r="F10" s="101">
        <f>+SFOI!E13</f>
        <v>174834.88</v>
      </c>
      <c r="G10" s="101">
        <f>+SFOI!G13</f>
        <v>2867207.7600000002</v>
      </c>
      <c r="H10" s="101">
        <f>+SFOI!I13</f>
        <v>1559.44</v>
      </c>
      <c r="I10" s="101">
        <f>+SFOI!K13</f>
        <v>15005.869999999999</v>
      </c>
      <c r="J10" s="101">
        <f>+SFOI!M13</f>
        <v>0</v>
      </c>
      <c r="K10" s="101">
        <f>+SFOI!O13</f>
        <v>1058207.18</v>
      </c>
      <c r="L10" s="103">
        <f t="shared" si="2"/>
        <v>11559005.959999999</v>
      </c>
    </row>
    <row r="11" spans="1:12" ht="16.5">
      <c r="A11" s="157" t="s">
        <v>21</v>
      </c>
      <c r="B11" s="101">
        <f>+'CD'!P12+'CD'!Q12</f>
        <v>1698472</v>
      </c>
      <c r="C11" s="101">
        <f t="shared" si="0"/>
        <v>850539.0299999999</v>
      </c>
      <c r="D11" s="102">
        <f t="shared" si="1"/>
        <v>0.5007671777927454</v>
      </c>
      <c r="E11" s="101">
        <f>+'CD'!C12</f>
        <v>561592.19</v>
      </c>
      <c r="F11" s="101">
        <f>+'CD'!E12</f>
        <v>22660.23</v>
      </c>
      <c r="G11" s="101">
        <f>+'CD'!G12</f>
        <v>13608.220000000001</v>
      </c>
      <c r="H11" s="101">
        <f>+'CD'!I12</f>
        <v>130063.75</v>
      </c>
      <c r="I11" s="101">
        <f>+'CD'!K12</f>
        <v>1390</v>
      </c>
      <c r="J11" s="101">
        <f>+'CD'!M12</f>
        <v>0</v>
      </c>
      <c r="K11" s="101">
        <f>+'CD'!O12</f>
        <v>121224.64</v>
      </c>
      <c r="L11" s="103">
        <f t="shared" si="2"/>
        <v>847932.9700000001</v>
      </c>
    </row>
    <row r="12" spans="1:12" ht="16.5">
      <c r="A12" s="157" t="s">
        <v>22</v>
      </c>
      <c r="B12" s="101">
        <f>+'CM'!N12+'CM'!O12</f>
        <v>708925</v>
      </c>
      <c r="C12" s="101">
        <f t="shared" si="0"/>
        <v>246361.46000000002</v>
      </c>
      <c r="D12" s="102">
        <f t="shared" si="1"/>
        <v>0.34751413760270833</v>
      </c>
      <c r="E12" s="101">
        <f>+'CM'!C12</f>
        <v>160027.24</v>
      </c>
      <c r="F12" s="101">
        <f>+'CM'!E12</f>
        <v>0</v>
      </c>
      <c r="G12" s="101">
        <f>+'CM'!G12</f>
        <v>37447.33</v>
      </c>
      <c r="H12" s="101">
        <f>+'CM'!I12</f>
        <v>0</v>
      </c>
      <c r="I12" s="101">
        <f>+'CM'!K12</f>
        <v>0</v>
      </c>
      <c r="J12" s="101">
        <v>0</v>
      </c>
      <c r="K12" s="101">
        <f>+'CM'!M12</f>
        <v>48886.89</v>
      </c>
      <c r="L12" s="103">
        <f t="shared" si="2"/>
        <v>462563.54</v>
      </c>
    </row>
    <row r="13" spans="1:12" ht="16.5">
      <c r="A13" s="157" t="s">
        <v>19</v>
      </c>
      <c r="B13" s="101">
        <f>+SSP!P13+SSP!Q13</f>
        <v>36794267</v>
      </c>
      <c r="C13" s="101">
        <f t="shared" si="0"/>
        <v>18557002.1</v>
      </c>
      <c r="D13" s="102">
        <f t="shared" si="1"/>
        <v>0.5043449323232884</v>
      </c>
      <c r="E13" s="101">
        <f>+SSP!C13</f>
        <v>8826418.48</v>
      </c>
      <c r="F13" s="101">
        <f>+SSP!E13</f>
        <v>2344552.52</v>
      </c>
      <c r="G13" s="101">
        <f>+SSP!G13</f>
        <v>3850908.89</v>
      </c>
      <c r="H13" s="101">
        <f>+SSP!I13</f>
        <v>60607.71</v>
      </c>
      <c r="I13" s="101">
        <f>+SSP!K13</f>
        <v>890860.11</v>
      </c>
      <c r="J13" s="101">
        <f>+SSP!M13</f>
        <v>542227.69</v>
      </c>
      <c r="K13" s="101">
        <f>+SSP!O13</f>
        <v>2041426.6999999997</v>
      </c>
      <c r="L13" s="103">
        <f t="shared" si="2"/>
        <v>18237264.9</v>
      </c>
    </row>
    <row r="14" spans="1:12" ht="16.5">
      <c r="A14" s="157" t="s">
        <v>117</v>
      </c>
      <c r="B14" s="101">
        <f>+CULTURA!P10+CULTURA!Q10</f>
        <v>4842558</v>
      </c>
      <c r="C14" s="101">
        <f t="shared" si="0"/>
        <v>2050237.26</v>
      </c>
      <c r="D14" s="102">
        <f t="shared" si="1"/>
        <v>0.42337897863071544</v>
      </c>
      <c r="E14" s="101">
        <f>+CULTURA!C10</f>
        <v>913730.54</v>
      </c>
      <c r="F14" s="101">
        <f>+CULTURA!E10</f>
        <v>27178.24</v>
      </c>
      <c r="G14" s="101">
        <f>+CULTURA!G10</f>
        <v>620990.66</v>
      </c>
      <c r="H14" s="101">
        <f>+CULTURA!I10</f>
        <v>154541.55</v>
      </c>
      <c r="I14" s="101">
        <f>+CULTURA!K10</f>
        <v>7265</v>
      </c>
      <c r="J14" s="101">
        <f>+CULTURA!M10</f>
        <v>1751.55</v>
      </c>
      <c r="K14" s="101">
        <f>+CULTURA!O10</f>
        <v>324779.72000000003</v>
      </c>
      <c r="L14" s="103">
        <f t="shared" si="2"/>
        <v>2792320.74</v>
      </c>
    </row>
    <row r="15" spans="1:12" ht="16.5">
      <c r="A15" s="157" t="s">
        <v>118</v>
      </c>
      <c r="B15" s="101">
        <f>+DEPORTES!P12+DEPORTES!Q12</f>
        <v>5832403</v>
      </c>
      <c r="C15" s="101">
        <f t="shared" si="0"/>
        <v>2975362.79</v>
      </c>
      <c r="D15" s="102">
        <f t="shared" si="1"/>
        <v>0.5101435531803958</v>
      </c>
      <c r="E15" s="101">
        <f>+DEPORTES!C12</f>
        <v>920653.79</v>
      </c>
      <c r="F15" s="101">
        <f>+DEPORTES!E12</f>
        <v>15947.15</v>
      </c>
      <c r="G15" s="101">
        <f>+DEPORTES!G12</f>
        <v>661752.5</v>
      </c>
      <c r="H15" s="101">
        <f>+DEPORTES!I12</f>
        <v>770782.7000000001</v>
      </c>
      <c r="I15" s="101">
        <f>+DEPORTES!K12</f>
        <v>247744.89</v>
      </c>
      <c r="J15" s="101">
        <f>+DEPORTES!M12</f>
        <v>5351.4</v>
      </c>
      <c r="K15" s="101">
        <f>+DEPORTES!O12</f>
        <v>353130.36000000004</v>
      </c>
      <c r="L15" s="103">
        <f t="shared" si="2"/>
        <v>2857040.21</v>
      </c>
    </row>
    <row r="16" spans="1:12" ht="17.25">
      <c r="A16" s="16" t="s">
        <v>11</v>
      </c>
      <c r="B16" s="11">
        <f>SUM(B5:B15)</f>
        <v>137923509</v>
      </c>
      <c r="C16" s="11">
        <f>SUM(C5:C15)</f>
        <v>73200999.24000001</v>
      </c>
      <c r="D16" s="12">
        <f>+C16/B16</f>
        <v>0.5307362013244603</v>
      </c>
      <c r="E16" s="11">
        <f aca="true" t="shared" si="3" ref="E16:L16">SUM(E5:E15)</f>
        <v>28615024.61</v>
      </c>
      <c r="F16" s="11">
        <f t="shared" si="3"/>
        <v>3586901.14</v>
      </c>
      <c r="G16" s="11">
        <f t="shared" si="3"/>
        <v>13967007.570000002</v>
      </c>
      <c r="H16" s="11">
        <f t="shared" si="3"/>
        <v>5107650.100000001</v>
      </c>
      <c r="I16" s="11">
        <f t="shared" si="3"/>
        <v>2102687.3200000003</v>
      </c>
      <c r="J16" s="11">
        <f t="shared" si="3"/>
        <v>7767591.430000001</v>
      </c>
      <c r="K16" s="11">
        <f t="shared" si="3"/>
        <v>12054137.07</v>
      </c>
      <c r="L16" s="19">
        <f t="shared" si="3"/>
        <v>64722509.76</v>
      </c>
    </row>
    <row r="17" spans="1:12" ht="18" thickBot="1">
      <c r="A17" s="15" t="s">
        <v>51</v>
      </c>
      <c r="B17" s="6"/>
      <c r="C17" s="7"/>
      <c r="D17" s="8"/>
      <c r="E17" s="13">
        <f>+E16/71000000</f>
        <v>0.4030285156338028</v>
      </c>
      <c r="F17" s="14">
        <f>+F16/(8720196-300000)</f>
        <v>0.42598784398842976</v>
      </c>
      <c r="G17" s="14">
        <f>+G16/(27198807-1652000)</f>
        <v>0.5467222408655611</v>
      </c>
      <c r="H17" s="14">
        <f>+H16/9080689</f>
        <v>0.5624738497266012</v>
      </c>
      <c r="I17" s="14">
        <f>+I16/(3429817+800000-500000)</f>
        <v>0.563750800642498</v>
      </c>
      <c r="J17" s="14">
        <f>+J16/(9094000-1000000)</f>
        <v>0.959672773659501</v>
      </c>
      <c r="K17" s="14">
        <f>+K16/(8600000+3452000)</f>
        <v>1.0001773207766347</v>
      </c>
      <c r="L17" s="9"/>
    </row>
    <row r="18" spans="2:12" ht="17.25" thickTop="1">
      <c r="B18" s="5"/>
      <c r="C18" s="52"/>
      <c r="D18" s="5"/>
      <c r="L18" s="5"/>
    </row>
    <row r="19" spans="8:11" ht="16.5">
      <c r="H19" s="5"/>
      <c r="I19" s="5"/>
      <c r="J19" s="5"/>
      <c r="K19" s="128" t="s">
        <v>52</v>
      </c>
    </row>
    <row r="20" ht="16.5">
      <c r="K20" s="128"/>
    </row>
    <row r="21" ht="16.5">
      <c r="K21" s="129" t="s">
        <v>53</v>
      </c>
    </row>
    <row r="22" ht="16.5">
      <c r="K22" s="128"/>
    </row>
    <row r="23" ht="16.5">
      <c r="K23" s="151" t="s">
        <v>54</v>
      </c>
    </row>
    <row r="24" ht="16.5">
      <c r="K24" s="128"/>
    </row>
    <row r="25" ht="16.5">
      <c r="K25" s="130" t="s">
        <v>55</v>
      </c>
    </row>
    <row r="26" ht="16.5">
      <c r="K26" s="128"/>
    </row>
    <row r="27" ht="16.5">
      <c r="K27" s="135" t="s">
        <v>56</v>
      </c>
    </row>
    <row r="28" ht="16.5">
      <c r="K28" s="128"/>
    </row>
    <row r="29" ht="16.5">
      <c r="K29" s="131" t="s">
        <v>57</v>
      </c>
    </row>
    <row r="30" ht="16.5">
      <c r="K30" s="128"/>
    </row>
    <row r="31" ht="16.5">
      <c r="K31" s="132" t="s">
        <v>58</v>
      </c>
    </row>
    <row r="32" ht="16.5">
      <c r="K32" s="128"/>
    </row>
    <row r="33" ht="16.5">
      <c r="K33" s="133" t="s">
        <v>59</v>
      </c>
    </row>
    <row r="34" ht="16.5">
      <c r="K34" s="128"/>
    </row>
    <row r="35" ht="16.5">
      <c r="K35" s="134" t="s">
        <v>60</v>
      </c>
    </row>
    <row r="60" spans="5:13" ht="16.5">
      <c r="E60" s="1" t="s">
        <v>60</v>
      </c>
      <c r="F60" s="1" t="s">
        <v>59</v>
      </c>
      <c r="G60" s="1" t="s">
        <v>58</v>
      </c>
      <c r="H60" s="1" t="s">
        <v>61</v>
      </c>
      <c r="I60" s="1" t="s">
        <v>62</v>
      </c>
      <c r="J60" s="1" t="s">
        <v>63</v>
      </c>
      <c r="K60" s="1" t="s">
        <v>54</v>
      </c>
      <c r="L60" s="1" t="s">
        <v>64</v>
      </c>
      <c r="M60" s="1" t="s">
        <v>65</v>
      </c>
    </row>
    <row r="61" spans="1:13" ht="16.5">
      <c r="A61" s="1" t="s">
        <v>66</v>
      </c>
      <c r="E61" s="10">
        <f>+E5/B5</f>
        <v>0.15713148024058882</v>
      </c>
      <c r="F61" s="10">
        <f aca="true" t="shared" si="4" ref="F61:L61">+F5/$B$5</f>
        <v>0.004405992295391384</v>
      </c>
      <c r="G61" s="10">
        <f t="shared" si="4"/>
        <v>0.08137215315245568</v>
      </c>
      <c r="H61" s="10">
        <f t="shared" si="4"/>
        <v>0.07950093971664339</v>
      </c>
      <c r="I61" s="10">
        <f t="shared" si="4"/>
        <v>0.1104069240030861</v>
      </c>
      <c r="J61" s="10">
        <f t="shared" si="4"/>
        <v>0.0063989324071429135</v>
      </c>
      <c r="K61" s="10">
        <f t="shared" si="4"/>
        <v>0.11191977169157004</v>
      </c>
      <c r="L61" s="10">
        <f t="shared" si="4"/>
        <v>0.44886380649312163</v>
      </c>
      <c r="M61" s="10">
        <f>SUM(E61:L61)</f>
        <v>1</v>
      </c>
    </row>
    <row r="62" spans="1:13" ht="16.5">
      <c r="A62" s="1" t="s">
        <v>93</v>
      </c>
      <c r="E62" s="10">
        <f>+E6/B6</f>
        <v>0.22017251920980663</v>
      </c>
      <c r="F62" s="10">
        <f>+F6/B6</f>
        <v>0.004218871870927697</v>
      </c>
      <c r="G62" s="10">
        <f>+G6/B6</f>
        <v>0.13882765296928543</v>
      </c>
      <c r="H62" s="10">
        <f>+H6/B6</f>
        <v>0.04333454450591005</v>
      </c>
      <c r="I62" s="10">
        <f>+I6/B6</f>
        <v>0.0018229684435213266</v>
      </c>
      <c r="J62" s="10">
        <f>+J6/B6</f>
        <v>0.019963088831071812</v>
      </c>
      <c r="K62" s="10">
        <f>+K6/B6</f>
        <v>0.06663240399911338</v>
      </c>
      <c r="L62" s="10">
        <f>+L6/B6</f>
        <v>0.5050279501703636</v>
      </c>
      <c r="M62" s="10">
        <f>SUM(E62:L62)</f>
        <v>1</v>
      </c>
    </row>
    <row r="63" spans="1:13" ht="16.5">
      <c r="A63" s="1" t="s">
        <v>94</v>
      </c>
      <c r="E63" s="10">
        <f>+E7/B7</f>
        <v>0.20219341357659285</v>
      </c>
      <c r="F63" s="10">
        <f>+F7/B7</f>
        <v>0.06278076455399893</v>
      </c>
      <c r="G63" s="10">
        <f>+G7/B7</f>
        <v>0.0824416499282398</v>
      </c>
      <c r="H63" s="10">
        <f>+H7/B7</f>
        <v>0</v>
      </c>
      <c r="I63" s="10">
        <f>+I7/B7</f>
        <v>0.0037456889064283994</v>
      </c>
      <c r="J63" s="10">
        <f>+J7/B7</f>
        <v>7.859724393579865E-05</v>
      </c>
      <c r="K63" s="10">
        <f>+K7/B7</f>
        <v>0.048261928131856646</v>
      </c>
      <c r="L63" s="10">
        <f>+L7/B7</f>
        <v>0.6004979576589476</v>
      </c>
      <c r="M63" s="10">
        <f>SUM(E63:L63)</f>
        <v>1</v>
      </c>
    </row>
    <row r="64" spans="1:13" ht="16.5">
      <c r="A64" s="1" t="s">
        <v>67</v>
      </c>
      <c r="E64" s="10">
        <f aca="true" t="shared" si="5" ref="E64:L64">+E8/$B$8</f>
        <v>0.21011486842284927</v>
      </c>
      <c r="F64" s="10">
        <f t="shared" si="5"/>
        <v>0.0036701902719128527</v>
      </c>
      <c r="G64" s="10">
        <f t="shared" si="5"/>
        <v>0.08691220591026107</v>
      </c>
      <c r="H64" s="10">
        <f t="shared" si="5"/>
        <v>0.14325367424797864</v>
      </c>
      <c r="I64" s="10">
        <f t="shared" si="5"/>
        <v>0.001737878380408074</v>
      </c>
      <c r="J64" s="10">
        <f t="shared" si="5"/>
        <v>0.00029823797969939526</v>
      </c>
      <c r="K64" s="10">
        <f t="shared" si="5"/>
        <v>0.07166552188084452</v>
      </c>
      <c r="L64" s="10">
        <f t="shared" si="5"/>
        <v>0.4823474229060462</v>
      </c>
      <c r="M64" s="10">
        <f aca="true" t="shared" si="6" ref="M64:M71">SUM(E64:L64)</f>
        <v>1</v>
      </c>
    </row>
    <row r="65" spans="1:13" ht="16.5">
      <c r="A65" s="1" t="s">
        <v>68</v>
      </c>
      <c r="E65" s="10">
        <f>+E9/$B$9</f>
        <v>0.11022669709676357</v>
      </c>
      <c r="F65" s="10">
        <f aca="true" t="shared" si="7" ref="F65:L65">+F9/$B$9</f>
        <v>0.0062454467837700185</v>
      </c>
      <c r="G65" s="10">
        <f t="shared" si="7"/>
        <v>0.06104427408095937</v>
      </c>
      <c r="H65" s="10">
        <f t="shared" si="7"/>
        <v>0.000508846266124511</v>
      </c>
      <c r="I65" s="10">
        <f t="shared" si="7"/>
        <v>0.000800721747829199</v>
      </c>
      <c r="J65" s="10">
        <f t="shared" si="7"/>
        <v>0.42367950805355276</v>
      </c>
      <c r="K65" s="10">
        <f t="shared" si="7"/>
        <v>0.27438571491388253</v>
      </c>
      <c r="L65" s="10">
        <f t="shared" si="7"/>
        <v>0.123108791057118</v>
      </c>
      <c r="M65" s="10">
        <f t="shared" si="6"/>
        <v>1</v>
      </c>
    </row>
    <row r="66" spans="1:13" ht="16.5">
      <c r="A66" s="1" t="s">
        <v>71</v>
      </c>
      <c r="E66" s="10">
        <f>+E10/$B$10</f>
        <v>0.24596276468146638</v>
      </c>
      <c r="F66" s="10">
        <f aca="true" t="shared" si="8" ref="F66:L66">+F10/$B$10</f>
        <v>0.008409895009362319</v>
      </c>
      <c r="G66" s="10">
        <f t="shared" si="8"/>
        <v>0.13791822450776936</v>
      </c>
      <c r="H66" s="10">
        <f t="shared" si="8"/>
        <v>7.501207238166649E-05</v>
      </c>
      <c r="I66" s="10">
        <f t="shared" si="8"/>
        <v>0.0007218112954585478</v>
      </c>
      <c r="J66" s="10">
        <f t="shared" si="8"/>
        <v>0</v>
      </c>
      <c r="K66" s="10">
        <f t="shared" si="8"/>
        <v>0.05090180679023186</v>
      </c>
      <c r="L66" s="10">
        <f t="shared" si="8"/>
        <v>0.5560104856433298</v>
      </c>
      <c r="M66" s="10">
        <f t="shared" si="6"/>
        <v>1</v>
      </c>
    </row>
    <row r="67" spans="1:13" ht="16.5">
      <c r="A67" s="1" t="s">
        <v>69</v>
      </c>
      <c r="E67" s="10">
        <f>+E11/$B$11</f>
        <v>0.33064553904921595</v>
      </c>
      <c r="F67" s="10">
        <f aca="true" t="shared" si="9" ref="F67:L67">+F11/$B$11</f>
        <v>0.013341538747768583</v>
      </c>
      <c r="G67" s="10">
        <f t="shared" si="9"/>
        <v>0.008012036701223219</v>
      </c>
      <c r="H67" s="10">
        <f t="shared" si="9"/>
        <v>0.07657691737043648</v>
      </c>
      <c r="I67" s="10">
        <f t="shared" si="9"/>
        <v>0.0008183826403967802</v>
      </c>
      <c r="J67" s="10">
        <f t="shared" si="9"/>
        <v>0</v>
      </c>
      <c r="K67" s="10">
        <f t="shared" si="9"/>
        <v>0.07137276328370441</v>
      </c>
      <c r="L67" s="10">
        <f t="shared" si="9"/>
        <v>0.49923282220725457</v>
      </c>
      <c r="M67" s="10">
        <f t="shared" si="6"/>
        <v>1</v>
      </c>
    </row>
    <row r="68" spans="1:13" ht="16.5">
      <c r="A68" s="1" t="s">
        <v>97</v>
      </c>
      <c r="E68" s="10">
        <f>+E12/$B$12</f>
        <v>0.22573225658567547</v>
      </c>
      <c r="F68" s="10">
        <f aca="true" t="shared" si="10" ref="F68:L68">+F12/$B$12</f>
        <v>0</v>
      </c>
      <c r="G68" s="10">
        <f t="shared" si="10"/>
        <v>0.052822696336001694</v>
      </c>
      <c r="H68" s="10">
        <f t="shared" si="10"/>
        <v>0</v>
      </c>
      <c r="I68" s="10">
        <f t="shared" si="10"/>
        <v>0</v>
      </c>
      <c r="J68" s="10">
        <f t="shared" si="10"/>
        <v>0</v>
      </c>
      <c r="K68" s="10">
        <f t="shared" si="10"/>
        <v>0.06895918468103114</v>
      </c>
      <c r="L68" s="10">
        <f t="shared" si="10"/>
        <v>0.6524858623972917</v>
      </c>
      <c r="M68" s="10">
        <f t="shared" si="6"/>
        <v>1</v>
      </c>
    </row>
    <row r="69" spans="1:13" ht="16.5">
      <c r="A69" s="1" t="s">
        <v>72</v>
      </c>
      <c r="E69" s="10">
        <f>+E13/$B$13</f>
        <v>0.2398856995846663</v>
      </c>
      <c r="F69" s="10">
        <f aca="true" t="shared" si="11" ref="F69:L69">+F13/$B$13</f>
        <v>0.06372059321089342</v>
      </c>
      <c r="G69" s="10">
        <f t="shared" si="11"/>
        <v>0.10466056818036354</v>
      </c>
      <c r="H69" s="10">
        <f t="shared" si="11"/>
        <v>0.0016472052561884165</v>
      </c>
      <c r="I69" s="10">
        <f t="shared" si="11"/>
        <v>0.024211927091793945</v>
      </c>
      <c r="J69" s="10">
        <f t="shared" si="11"/>
        <v>0.014736743906326493</v>
      </c>
      <c r="K69" s="10">
        <f t="shared" si="11"/>
        <v>0.0554821950930562</v>
      </c>
      <c r="L69" s="10">
        <f t="shared" si="11"/>
        <v>0.49565506767671164</v>
      </c>
      <c r="M69" s="10">
        <f t="shared" si="6"/>
        <v>1</v>
      </c>
    </row>
    <row r="70" spans="1:13" ht="16.5">
      <c r="A70" s="1" t="s">
        <v>73</v>
      </c>
      <c r="E70" s="10">
        <f>+E14/$B$14</f>
        <v>0.18868757792885496</v>
      </c>
      <c r="F70" s="10">
        <f aca="true" t="shared" si="12" ref="F70:L70">+F14/$B$14</f>
        <v>0.0056123726344630255</v>
      </c>
      <c r="G70" s="10">
        <f t="shared" si="12"/>
        <v>0.12823608101338177</v>
      </c>
      <c r="H70" s="10">
        <f t="shared" si="12"/>
        <v>0.031913205789171756</v>
      </c>
      <c r="I70" s="10">
        <f t="shared" si="12"/>
        <v>0.0015002401623274311</v>
      </c>
      <c r="J70" s="10">
        <f t="shared" si="12"/>
        <v>0.00036169933328625075</v>
      </c>
      <c r="K70" s="10">
        <f t="shared" si="12"/>
        <v>0.06706780176923023</v>
      </c>
      <c r="L70" s="10">
        <f t="shared" si="12"/>
        <v>0.5766210213692846</v>
      </c>
      <c r="M70" s="10">
        <f t="shared" si="6"/>
        <v>1</v>
      </c>
    </row>
    <row r="71" spans="1:13" ht="16.5">
      <c r="A71" s="1" t="s">
        <v>70</v>
      </c>
      <c r="E71" s="10">
        <f>+E15/$B$15</f>
        <v>0.15785153906545896</v>
      </c>
      <c r="F71" s="10">
        <f aca="true" t="shared" si="13" ref="F71:L71">+F15/$B$15</f>
        <v>0.0027342332139943006</v>
      </c>
      <c r="G71" s="10">
        <f t="shared" si="13"/>
        <v>0.11346138118370765</v>
      </c>
      <c r="H71" s="10">
        <f t="shared" si="13"/>
        <v>0.13215525401794082</v>
      </c>
      <c r="I71" s="10">
        <f t="shared" si="13"/>
        <v>0.042477327098281795</v>
      </c>
      <c r="J71" s="10">
        <f t="shared" si="13"/>
        <v>0.0009175291899410928</v>
      </c>
      <c r="K71" s="10">
        <f t="shared" si="13"/>
        <v>0.06054628941107122</v>
      </c>
      <c r="L71" s="10">
        <f t="shared" si="13"/>
        <v>0.4898564468196042</v>
      </c>
      <c r="M71" s="10">
        <f t="shared" si="6"/>
        <v>1</v>
      </c>
    </row>
  </sheetData>
  <sheetProtection/>
  <mergeCells count="1">
    <mergeCell ref="E3:K3"/>
  </mergeCells>
  <printOptions horizontalCentered="1"/>
  <pageMargins left="0.98" right="0.23" top="0.75" bottom="0.25" header="0.39" footer="0"/>
  <pageSetup horizontalDpi="600" verticalDpi="600" orientation="landscape" paperSize="5" r:id="rId2"/>
  <headerFooter alignWithMargins="0">
    <oddHeader>&amp;C&amp;"Palatino Linotype,Negrita"&amp;8CONTADURIA MUNICIPAL&amp;"Garamond,Normal"&amp;11
&amp;"Haettenschweiler,Normal"&amp;9Presupuesto vs. Ejecución Presupuestaria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77"/>
  <sheetViews>
    <sheetView zoomScalePageLayoutView="0" workbookViewId="0" topLeftCell="A1">
      <selection activeCell="P21" sqref="P21"/>
    </sheetView>
  </sheetViews>
  <sheetFormatPr defaultColWidth="11.421875" defaultRowHeight="15"/>
  <cols>
    <col min="1" max="1" width="21.8515625" style="1" customWidth="1"/>
    <col min="2" max="2" width="9.28125" style="1" customWidth="1"/>
    <col min="3" max="3" width="12.57421875" style="1" customWidth="1"/>
    <col min="4" max="4" width="8.00390625" style="1" customWidth="1"/>
    <col min="5" max="5" width="9.421875" style="1" customWidth="1"/>
    <col min="6" max="6" width="9.28125" style="1" customWidth="1"/>
    <col min="7" max="7" width="12.00390625" style="1" customWidth="1"/>
    <col min="8" max="8" width="7.8515625" style="1" customWidth="1"/>
    <col min="9" max="9" width="10.7109375" style="1" customWidth="1"/>
    <col min="10" max="10" width="8.421875" style="1" customWidth="1"/>
    <col min="11" max="11" width="10.00390625" style="1" customWidth="1"/>
    <col min="12" max="12" width="6.8515625" style="1" customWidth="1"/>
    <col min="13" max="13" width="10.421875" style="1" customWidth="1"/>
    <col min="14" max="14" width="9.28125" style="1" customWidth="1"/>
    <col min="15" max="15" width="10.7109375" style="1" customWidth="1"/>
    <col min="16" max="16" width="12.28125" style="1" customWidth="1"/>
    <col min="17" max="17" width="13.421875" style="1" customWidth="1"/>
    <col min="18" max="19" width="13.8515625" style="1" bestFit="1" customWidth="1"/>
    <col min="20" max="16384" width="11.421875" style="1" customWidth="1"/>
  </cols>
  <sheetData>
    <row r="2" spans="1:15" ht="18">
      <c r="A2" s="146" t="s">
        <v>0</v>
      </c>
      <c r="B2" s="165" t="s">
        <v>104</v>
      </c>
      <c r="C2" s="165"/>
      <c r="D2" s="170"/>
      <c r="E2" s="170"/>
      <c r="I2" s="21" t="s">
        <v>23</v>
      </c>
      <c r="J2" s="21"/>
      <c r="K2" s="150">
        <v>41030</v>
      </c>
      <c r="L2" s="122"/>
      <c r="M2" s="122"/>
      <c r="O2" s="20"/>
    </row>
    <row r="3" spans="2:4" ht="6.75" customHeight="1">
      <c r="B3" s="171"/>
      <c r="C3" s="171"/>
      <c r="D3" s="67"/>
    </row>
    <row r="4" ht="17.25" thickBot="1"/>
    <row r="5" spans="1:17" ht="17.25">
      <c r="A5" s="25"/>
      <c r="B5" s="172" t="s">
        <v>1</v>
      </c>
      <c r="C5" s="173"/>
      <c r="D5" s="172" t="s">
        <v>2</v>
      </c>
      <c r="E5" s="173"/>
      <c r="F5" s="172" t="s">
        <v>3</v>
      </c>
      <c r="G5" s="173"/>
      <c r="H5" s="172" t="s">
        <v>4</v>
      </c>
      <c r="I5" s="173"/>
      <c r="J5" s="172" t="s">
        <v>32</v>
      </c>
      <c r="K5" s="173"/>
      <c r="L5" s="172" t="s">
        <v>36</v>
      </c>
      <c r="M5" s="173"/>
      <c r="N5" s="172" t="s">
        <v>33</v>
      </c>
      <c r="O5" s="173"/>
      <c r="P5" s="26" t="s">
        <v>5</v>
      </c>
      <c r="Q5" s="26" t="s">
        <v>38</v>
      </c>
    </row>
    <row r="6" spans="1:17" ht="17.25">
      <c r="A6" s="27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6" t="s">
        <v>25</v>
      </c>
      <c r="Q6" s="30" t="s">
        <v>39</v>
      </c>
    </row>
    <row r="7" spans="1:19" ht="17.25">
      <c r="A7" s="31" t="s">
        <v>14</v>
      </c>
      <c r="B7" s="68">
        <v>825567</v>
      </c>
      <c r="C7" s="33">
        <f>42791.36+253863.51+6926.48+26897.51</f>
        <v>330478.86</v>
      </c>
      <c r="D7" s="68">
        <v>32090</v>
      </c>
      <c r="E7" s="33">
        <f>449.61+13233.2</f>
        <v>13682.810000000001</v>
      </c>
      <c r="F7" s="68">
        <f>464000-30000</f>
        <v>434000</v>
      </c>
      <c r="G7" s="33">
        <f>152074.25+289030.68</f>
        <v>441104.93</v>
      </c>
      <c r="H7" s="68">
        <v>340000</v>
      </c>
      <c r="I7" s="33">
        <f>57823.74+269085.72</f>
        <v>326909.45999999996</v>
      </c>
      <c r="J7" s="68">
        <v>12000</v>
      </c>
      <c r="K7" s="33">
        <f>1250+6335.24</f>
        <v>7585.24</v>
      </c>
      <c r="L7" s="68">
        <v>0</v>
      </c>
      <c r="M7" s="33">
        <f>3529.4+24610.2</f>
        <v>28139.600000000002</v>
      </c>
      <c r="N7" s="68">
        <f>600000+800000</f>
        <v>1400000</v>
      </c>
      <c r="O7" s="33">
        <f>31384.96+373599.18</f>
        <v>404984.14</v>
      </c>
      <c r="P7" s="34">
        <f>+O7+K7+I7+G7+E7+C7+M7</f>
        <v>1552885.04</v>
      </c>
      <c r="Q7" s="34">
        <f>+B7+D7+F7+H7+J7+N7-P7+L7</f>
        <v>1490771.96</v>
      </c>
      <c r="R7" s="5"/>
      <c r="S7" s="5"/>
    </row>
    <row r="8" spans="1:17" ht="17.25">
      <c r="A8" s="31" t="s">
        <v>124</v>
      </c>
      <c r="B8" s="68">
        <v>173794</v>
      </c>
      <c r="C8" s="33">
        <f>16115.61+55193.51</f>
        <v>71309.12</v>
      </c>
      <c r="D8" s="68">
        <v>2550</v>
      </c>
      <c r="E8" s="33">
        <v>0</v>
      </c>
      <c r="F8" s="68">
        <v>116000</v>
      </c>
      <c r="G8" s="33">
        <v>190.75</v>
      </c>
      <c r="H8" s="68">
        <v>25000</v>
      </c>
      <c r="I8" s="33">
        <v>0</v>
      </c>
      <c r="J8" s="68">
        <v>0</v>
      </c>
      <c r="K8" s="33">
        <v>0</v>
      </c>
      <c r="L8" s="68">
        <v>0</v>
      </c>
      <c r="M8" s="33">
        <v>0</v>
      </c>
      <c r="N8" s="68">
        <v>0</v>
      </c>
      <c r="O8" s="37">
        <v>0</v>
      </c>
      <c r="P8" s="34">
        <f>+O8+K8+I8+G8+E8+C8+M8</f>
        <v>71499.87</v>
      </c>
      <c r="Q8" s="34">
        <f>+B8+D8+F8+H8+J8+N8-P8</f>
        <v>245844.13</v>
      </c>
    </row>
    <row r="9" spans="1:17" ht="17.25">
      <c r="A9" s="31" t="s">
        <v>125</v>
      </c>
      <c r="B9" s="68">
        <v>340881</v>
      </c>
      <c r="C9" s="33">
        <f>32935.86+114117.38</f>
        <v>147053.24</v>
      </c>
      <c r="D9" s="68">
        <v>19600</v>
      </c>
      <c r="E9" s="33">
        <v>0</v>
      </c>
      <c r="F9" s="68">
        <v>0</v>
      </c>
      <c r="G9" s="33">
        <v>165.51</v>
      </c>
      <c r="H9" s="68">
        <v>0</v>
      </c>
      <c r="I9" s="33">
        <v>0</v>
      </c>
      <c r="J9" s="68">
        <v>5000</v>
      </c>
      <c r="K9" s="33">
        <v>0</v>
      </c>
      <c r="L9" s="68">
        <v>0</v>
      </c>
      <c r="M9" s="33">
        <v>0</v>
      </c>
      <c r="N9" s="68">
        <v>0</v>
      </c>
      <c r="O9" s="37">
        <v>0</v>
      </c>
      <c r="P9" s="34">
        <f>+O9+K9+I9+G9+E9+C9+M9</f>
        <v>147218.75</v>
      </c>
      <c r="Q9" s="34">
        <f>+B9+D9+F9+H9+J9+N9-P9</f>
        <v>218262.25</v>
      </c>
    </row>
    <row r="10" spans="1:17" ht="17.25">
      <c r="A10" s="31" t="s">
        <v>126</v>
      </c>
      <c r="B10" s="68">
        <v>0</v>
      </c>
      <c r="C10" s="33">
        <v>0</v>
      </c>
      <c r="D10" s="68">
        <v>8400</v>
      </c>
      <c r="E10" s="33">
        <v>669</v>
      </c>
      <c r="F10" s="68">
        <f>375500-65000</f>
        <v>310500</v>
      </c>
      <c r="G10" s="33">
        <v>0</v>
      </c>
      <c r="H10" s="68">
        <v>0</v>
      </c>
      <c r="I10" s="33">
        <v>0</v>
      </c>
      <c r="J10" s="68">
        <v>0</v>
      </c>
      <c r="K10" s="33">
        <v>2650.66</v>
      </c>
      <c r="L10" s="68">
        <v>0</v>
      </c>
      <c r="M10" s="33">
        <v>0</v>
      </c>
      <c r="N10" s="68">
        <v>0</v>
      </c>
      <c r="O10" s="37">
        <v>0</v>
      </c>
      <c r="P10" s="34">
        <f>+O10+K10+I10+G10+E10+C10+M10</f>
        <v>3319.66</v>
      </c>
      <c r="Q10" s="34">
        <f>+B10+D10+F10+H10+J10+N10-P10</f>
        <v>315580.34</v>
      </c>
    </row>
    <row r="11" spans="1:17" ht="17.25">
      <c r="A11" s="31" t="s">
        <v>83</v>
      </c>
      <c r="B11" s="68">
        <v>206062</v>
      </c>
      <c r="C11" s="33">
        <f>17497.83+82864.39</f>
        <v>100362.22</v>
      </c>
      <c r="D11" s="68">
        <v>6900</v>
      </c>
      <c r="E11" s="33">
        <v>354.05</v>
      </c>
      <c r="F11" s="68">
        <v>7000</v>
      </c>
      <c r="G11" s="33">
        <f>4372.92+17482.52</f>
        <v>21855.440000000002</v>
      </c>
      <c r="H11" s="68">
        <v>0</v>
      </c>
      <c r="I11" s="33">
        <v>0</v>
      </c>
      <c r="J11" s="68">
        <v>6800</v>
      </c>
      <c r="K11" s="33">
        <v>0</v>
      </c>
      <c r="L11" s="68">
        <v>0</v>
      </c>
      <c r="M11" s="33">
        <v>0</v>
      </c>
      <c r="N11" s="68">
        <v>0</v>
      </c>
      <c r="O11" s="37">
        <v>12397.91</v>
      </c>
      <c r="P11" s="34">
        <f>+O11+K11+I11+G11+E11+C11</f>
        <v>134969.62</v>
      </c>
      <c r="Q11" s="34">
        <f>+B11+D11+F11+H11+J11+N11-P11</f>
        <v>91792.38</v>
      </c>
    </row>
    <row r="12" spans="1:17" ht="17.25">
      <c r="A12" s="31" t="s">
        <v>84</v>
      </c>
      <c r="B12" s="68">
        <v>349712</v>
      </c>
      <c r="C12" s="33">
        <f>26765.55+126664.13</f>
        <v>153429.68</v>
      </c>
      <c r="D12" s="68">
        <v>0</v>
      </c>
      <c r="E12" s="33">
        <v>1042.4</v>
      </c>
      <c r="F12" s="68">
        <f>595000-300000</f>
        <v>295000</v>
      </c>
      <c r="G12" s="33">
        <f>17596.56+10711.69</f>
        <v>28308.25</v>
      </c>
      <c r="H12" s="68">
        <v>0</v>
      </c>
      <c r="I12" s="33">
        <v>0</v>
      </c>
      <c r="J12" s="68">
        <v>50000</v>
      </c>
      <c r="K12" s="33">
        <v>1490</v>
      </c>
      <c r="L12" s="68">
        <v>0</v>
      </c>
      <c r="M12" s="33">
        <v>0</v>
      </c>
      <c r="N12" s="68">
        <v>0</v>
      </c>
      <c r="O12" s="37">
        <v>17676.58</v>
      </c>
      <c r="P12" s="34">
        <f aca="true" t="shared" si="0" ref="P12:P17">+O12+K12+I12+G12+E12+C12+M12</f>
        <v>201946.91</v>
      </c>
      <c r="Q12" s="34">
        <f aca="true" t="shared" si="1" ref="Q12:Q17">+B12+D12+F12+H12+J12+N12-P12</f>
        <v>492765.08999999997</v>
      </c>
    </row>
    <row r="13" spans="1:17" ht="17.25">
      <c r="A13" s="31" t="s">
        <v>74</v>
      </c>
      <c r="B13" s="68">
        <v>861288</v>
      </c>
      <c r="C13" s="33">
        <f>36251.03+179144.88+23539.89+95694.94+6527.27+34575.07+1424.77+7440.59</f>
        <v>384598.44000000006</v>
      </c>
      <c r="D13" s="68">
        <v>0</v>
      </c>
      <c r="E13" s="33">
        <v>738.85</v>
      </c>
      <c r="F13" s="68">
        <v>0</v>
      </c>
      <c r="G13" s="33">
        <f>722+11311.78+1600+6400+162+314.14</f>
        <v>20509.92</v>
      </c>
      <c r="H13" s="68">
        <v>0</v>
      </c>
      <c r="I13" s="33">
        <v>0</v>
      </c>
      <c r="J13" s="68">
        <v>0</v>
      </c>
      <c r="K13" s="33">
        <v>1533.4</v>
      </c>
      <c r="L13" s="68">
        <v>0</v>
      </c>
      <c r="M13" s="33">
        <v>0</v>
      </c>
      <c r="N13" s="68">
        <v>0</v>
      </c>
      <c r="O13" s="37">
        <v>50410.42</v>
      </c>
      <c r="P13" s="34">
        <f t="shared" si="0"/>
        <v>457791.03</v>
      </c>
      <c r="Q13" s="34">
        <f t="shared" si="1"/>
        <v>403496.97</v>
      </c>
    </row>
    <row r="14" spans="1:17" ht="17.25">
      <c r="A14" s="31" t="s">
        <v>105</v>
      </c>
      <c r="B14" s="68">
        <v>1114345</v>
      </c>
      <c r="C14" s="33">
        <f>75171.06+333309.12</f>
        <v>408480.18</v>
      </c>
      <c r="D14" s="68">
        <v>35000</v>
      </c>
      <c r="E14" s="33">
        <v>8448.2</v>
      </c>
      <c r="F14" s="68">
        <v>203000</v>
      </c>
      <c r="G14" s="33">
        <f>10055+52931.21</f>
        <v>62986.21</v>
      </c>
      <c r="H14" s="68">
        <v>0</v>
      </c>
      <c r="I14" s="33">
        <v>0</v>
      </c>
      <c r="J14" s="68">
        <v>12000</v>
      </c>
      <c r="K14" s="33">
        <v>0</v>
      </c>
      <c r="L14" s="68">
        <v>0</v>
      </c>
      <c r="M14" s="33">
        <v>0</v>
      </c>
      <c r="N14" s="68">
        <v>0</v>
      </c>
      <c r="O14" s="37">
        <v>60196.59</v>
      </c>
      <c r="P14" s="34">
        <f t="shared" si="0"/>
        <v>540111.1799999999</v>
      </c>
      <c r="Q14" s="34">
        <f t="shared" si="1"/>
        <v>824233.8200000001</v>
      </c>
    </row>
    <row r="15" spans="1:17" ht="17.25">
      <c r="A15" s="31" t="s">
        <v>127</v>
      </c>
      <c r="B15" s="68">
        <v>460156</v>
      </c>
      <c r="C15" s="33">
        <f>33837.72+158042.56</f>
        <v>191880.28</v>
      </c>
      <c r="D15" s="68">
        <v>5300</v>
      </c>
      <c r="E15" s="33">
        <v>3449.6</v>
      </c>
      <c r="F15" s="68">
        <f>104200-17000</f>
        <v>87200</v>
      </c>
      <c r="G15" s="33">
        <f>25500+121056.04</f>
        <v>146556.03999999998</v>
      </c>
      <c r="H15" s="68">
        <v>0</v>
      </c>
      <c r="I15" s="33">
        <v>800</v>
      </c>
      <c r="J15" s="68">
        <v>8000</v>
      </c>
      <c r="K15" s="33">
        <v>0</v>
      </c>
      <c r="L15" s="68">
        <v>0</v>
      </c>
      <c r="M15" s="33">
        <f>41149.45+148460.23</f>
        <v>189609.68</v>
      </c>
      <c r="N15" s="68">
        <v>0</v>
      </c>
      <c r="O15" s="37">
        <f>4194.17+80778.16</f>
        <v>84972.33</v>
      </c>
      <c r="P15" s="34">
        <f t="shared" si="0"/>
        <v>617267.9299999999</v>
      </c>
      <c r="Q15" s="34">
        <f t="shared" si="1"/>
        <v>-56611.929999999935</v>
      </c>
    </row>
    <row r="16" spans="1:17" ht="17.25">
      <c r="A16" s="31" t="s">
        <v>78</v>
      </c>
      <c r="B16" s="68">
        <v>1119745</v>
      </c>
      <c r="C16" s="33">
        <f>92216.72+397577.84</f>
        <v>489794.56000000006</v>
      </c>
      <c r="D16" s="68">
        <v>50200</v>
      </c>
      <c r="E16" s="33">
        <f>6797.2+8532.56</f>
        <v>15329.759999999998</v>
      </c>
      <c r="F16" s="68">
        <v>548600</v>
      </c>
      <c r="G16" s="33">
        <v>17901.12</v>
      </c>
      <c r="H16" s="68">
        <v>80000</v>
      </c>
      <c r="I16" s="33">
        <f>9216.88+66309.26</f>
        <v>75526.14</v>
      </c>
      <c r="J16" s="68">
        <v>30900</v>
      </c>
      <c r="K16" s="33">
        <f>5613.37+36.56</f>
        <v>5649.93</v>
      </c>
      <c r="L16" s="68">
        <v>0</v>
      </c>
      <c r="M16" s="33">
        <v>8225.08</v>
      </c>
      <c r="N16" s="68">
        <v>0</v>
      </c>
      <c r="O16" s="37">
        <v>67333.19</v>
      </c>
      <c r="P16" s="34">
        <f t="shared" si="0"/>
        <v>679759.78</v>
      </c>
      <c r="Q16" s="34">
        <f>+B16+D16+F16+H16+J16+N16-P16+L16</f>
        <v>1149685.22</v>
      </c>
    </row>
    <row r="17" spans="1:17" ht="17.25">
      <c r="A17" s="31" t="s">
        <v>77</v>
      </c>
      <c r="B17" s="68">
        <v>506039</v>
      </c>
      <c r="C17" s="33">
        <f>43813.61+171066.64</f>
        <v>214880.25</v>
      </c>
      <c r="D17" s="68">
        <v>0</v>
      </c>
      <c r="E17" s="33">
        <f>2000+2041.31</f>
        <v>4041.31</v>
      </c>
      <c r="F17" s="68">
        <f>1290980-135000</f>
        <v>1155980</v>
      </c>
      <c r="G17" s="33">
        <f>244607.72+587288.86</f>
        <v>831896.58</v>
      </c>
      <c r="H17" s="68">
        <v>75000</v>
      </c>
      <c r="I17" s="33">
        <f>29239.8+58054.7</f>
        <v>87294.5</v>
      </c>
      <c r="J17" s="68">
        <v>0</v>
      </c>
      <c r="K17" s="33">
        <f>1216+510.06</f>
        <v>1726.06</v>
      </c>
      <c r="L17" s="68">
        <v>0</v>
      </c>
      <c r="M17" s="33">
        <v>0</v>
      </c>
      <c r="N17" s="68">
        <v>0</v>
      </c>
      <c r="O17" s="37">
        <f>6500+49781.6</f>
        <v>56281.6</v>
      </c>
      <c r="P17" s="34">
        <f t="shared" si="0"/>
        <v>1196120.3</v>
      </c>
      <c r="Q17" s="34">
        <f t="shared" si="1"/>
        <v>540898.7</v>
      </c>
    </row>
    <row r="18" spans="1:17" ht="18" thickBot="1">
      <c r="A18" s="38" t="s">
        <v>11</v>
      </c>
      <c r="B18" s="39">
        <f aca="true" t="shared" si="2" ref="B18:Q18">SUM(B7:B17)</f>
        <v>5957589</v>
      </c>
      <c r="C18" s="40">
        <f t="shared" si="2"/>
        <v>2492266.83</v>
      </c>
      <c r="D18" s="39">
        <f t="shared" si="2"/>
        <v>160040</v>
      </c>
      <c r="E18" s="40">
        <f t="shared" si="2"/>
        <v>47755.979999999996</v>
      </c>
      <c r="F18" s="39">
        <f t="shared" si="2"/>
        <v>3157280</v>
      </c>
      <c r="G18" s="40">
        <f t="shared" si="2"/>
        <v>1571474.75</v>
      </c>
      <c r="H18" s="39">
        <f t="shared" si="2"/>
        <v>520000</v>
      </c>
      <c r="I18" s="40">
        <f t="shared" si="2"/>
        <v>490530.1</v>
      </c>
      <c r="J18" s="39">
        <f t="shared" si="2"/>
        <v>124700</v>
      </c>
      <c r="K18" s="40">
        <f t="shared" si="2"/>
        <v>20635.29</v>
      </c>
      <c r="L18" s="39">
        <f t="shared" si="2"/>
        <v>0</v>
      </c>
      <c r="M18" s="40">
        <f t="shared" si="2"/>
        <v>225974.36</v>
      </c>
      <c r="N18" s="39">
        <f t="shared" si="2"/>
        <v>1400000</v>
      </c>
      <c r="O18" s="40">
        <f t="shared" si="2"/>
        <v>754252.7599999999</v>
      </c>
      <c r="P18" s="42">
        <f t="shared" si="2"/>
        <v>5602890.069999999</v>
      </c>
      <c r="Q18" s="42">
        <f t="shared" si="2"/>
        <v>5716718.93</v>
      </c>
    </row>
    <row r="19" spans="1:17" ht="17.25" thickBot="1">
      <c r="A19" s="43" t="s">
        <v>30</v>
      </c>
      <c r="B19" s="44"/>
      <c r="C19" s="139">
        <f>+C18/B18</f>
        <v>0.4183348045660753</v>
      </c>
      <c r="D19" s="46"/>
      <c r="E19" s="139">
        <f>+E18/D18</f>
        <v>0.29840027493126714</v>
      </c>
      <c r="F19" s="139"/>
      <c r="G19" s="139">
        <f>+G18/F18</f>
        <v>0.4977305623828105</v>
      </c>
      <c r="H19" s="139"/>
      <c r="I19" s="139">
        <f>+I18/H18</f>
        <v>0.9433271153846153</v>
      </c>
      <c r="J19" s="139"/>
      <c r="K19" s="139">
        <f>+K18/J18</f>
        <v>0.16547947072975142</v>
      </c>
      <c r="L19" s="147"/>
      <c r="M19" s="147"/>
      <c r="N19" s="139"/>
      <c r="O19" s="141">
        <f>+O18/N18</f>
        <v>0.5387519714285713</v>
      </c>
      <c r="P19" s="58"/>
      <c r="Q19" s="58"/>
    </row>
    <row r="20" spans="1:17" ht="8.25" customHeight="1">
      <c r="A20" s="49"/>
      <c r="B20" s="49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ht="16.5">
      <c r="P21" s="52"/>
    </row>
    <row r="23" ht="17.25">
      <c r="P23" s="69"/>
    </row>
    <row r="24" ht="16.5">
      <c r="P24" s="70"/>
    </row>
    <row r="25" ht="16.5">
      <c r="P25" s="58"/>
    </row>
    <row r="26" ht="16.5">
      <c r="P26" s="58"/>
    </row>
    <row r="27" ht="16.5">
      <c r="P27" s="58"/>
    </row>
    <row r="41" spans="1:6" ht="16.5">
      <c r="A41" s="53"/>
      <c r="B41" s="53"/>
      <c r="C41" s="53"/>
      <c r="D41" s="53"/>
      <c r="E41" s="53"/>
      <c r="F41" s="53"/>
    </row>
    <row r="43" spans="3:6" ht="16.5"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6" spans="3:6" ht="16.5">
      <c r="C46" s="52"/>
      <c r="D46" s="5"/>
      <c r="E46" s="53"/>
      <c r="F46" s="53"/>
    </row>
    <row r="47" spans="3:6" ht="16.5">
      <c r="C47" s="52"/>
      <c r="D47" s="5"/>
      <c r="E47" s="53"/>
      <c r="F47" s="53"/>
    </row>
    <row r="48" spans="3:6" ht="16.5">
      <c r="C48" s="52"/>
      <c r="D48" s="5"/>
      <c r="E48" s="53"/>
      <c r="F48" s="53"/>
    </row>
    <row r="49" spans="3:6" ht="16.5">
      <c r="C49" s="52"/>
      <c r="D49" s="5"/>
      <c r="E49" s="53"/>
      <c r="F49" s="53"/>
    </row>
    <row r="50" ht="16.5">
      <c r="C50" s="48"/>
    </row>
    <row r="52" spans="1:4" ht="16.5">
      <c r="A52" s="62" t="s">
        <v>26</v>
      </c>
      <c r="B52" s="71" t="s">
        <v>27</v>
      </c>
      <c r="C52" s="62" t="s">
        <v>28</v>
      </c>
      <c r="D52" s="62"/>
    </row>
    <row r="53" spans="1:3" ht="17.25">
      <c r="A53" s="64">
        <f>+B18</f>
        <v>5957589</v>
      </c>
      <c r="B53" s="65">
        <f>+C18</f>
        <v>2492266.83</v>
      </c>
      <c r="C53" s="62" t="s">
        <v>1</v>
      </c>
    </row>
    <row r="54" spans="1:3" ht="17.25">
      <c r="A54" s="64">
        <f>+D18</f>
        <v>160040</v>
      </c>
      <c r="B54" s="65">
        <f>+E18</f>
        <v>47755.979999999996</v>
      </c>
      <c r="C54" s="62" t="s">
        <v>2</v>
      </c>
    </row>
    <row r="55" spans="1:3" ht="17.25">
      <c r="A55" s="64">
        <f>+F18</f>
        <v>3157280</v>
      </c>
      <c r="B55" s="65">
        <f>+G18</f>
        <v>1571474.75</v>
      </c>
      <c r="C55" s="62" t="s">
        <v>3</v>
      </c>
    </row>
    <row r="56" spans="1:3" ht="17.25">
      <c r="A56" s="64">
        <f>+H18</f>
        <v>520000</v>
      </c>
      <c r="B56" s="65">
        <f>+I18</f>
        <v>490530.1</v>
      </c>
      <c r="C56" s="62" t="s">
        <v>34</v>
      </c>
    </row>
    <row r="57" spans="1:3" ht="17.25">
      <c r="A57" s="64">
        <f>+J18</f>
        <v>124700</v>
      </c>
      <c r="B57" s="65">
        <f>+K18</f>
        <v>20635.29</v>
      </c>
      <c r="C57" s="62" t="s">
        <v>32</v>
      </c>
    </row>
    <row r="58" spans="1:3" ht="17.25">
      <c r="A58" s="64">
        <v>0</v>
      </c>
      <c r="B58" s="65">
        <f>+M18</f>
        <v>225974.36</v>
      </c>
      <c r="C58" s="62" t="s">
        <v>102</v>
      </c>
    </row>
    <row r="59" spans="1:3" ht="17.25">
      <c r="A59" s="64">
        <f>+N18</f>
        <v>1400000</v>
      </c>
      <c r="B59" s="65">
        <f>+O18</f>
        <v>754252.7599999999</v>
      </c>
      <c r="C59" s="62" t="s">
        <v>35</v>
      </c>
    </row>
    <row r="60" spans="1:3" ht="17.25">
      <c r="A60" s="64"/>
      <c r="B60" s="64"/>
      <c r="C60" s="62"/>
    </row>
    <row r="61" spans="1:3" ht="17.25">
      <c r="A61" s="64">
        <v>866913</v>
      </c>
      <c r="B61" s="65">
        <v>406071.92</v>
      </c>
      <c r="C61" s="62"/>
    </row>
    <row r="62" spans="1:3" ht="17.25">
      <c r="A62" s="64"/>
      <c r="B62" s="64"/>
      <c r="C62" s="62"/>
    </row>
    <row r="63" spans="1:2" ht="17.25">
      <c r="A63" s="64"/>
      <c r="B63" s="64"/>
    </row>
    <row r="64" spans="1:2" ht="17.25">
      <c r="A64" s="64"/>
      <c r="B64" s="64"/>
    </row>
    <row r="65" spans="1:2" ht="17.25">
      <c r="A65" s="64"/>
      <c r="B65" s="64"/>
    </row>
    <row r="66" spans="1:2" ht="17.25">
      <c r="A66" s="64"/>
      <c r="B66" s="64"/>
    </row>
    <row r="67" spans="1:2" ht="17.25">
      <c r="A67" s="64"/>
      <c r="B67" s="64"/>
    </row>
    <row r="68" spans="1:2" ht="17.25">
      <c r="A68" s="64"/>
      <c r="B68" s="64"/>
    </row>
    <row r="69" spans="1:2" ht="17.25">
      <c r="A69" s="64"/>
      <c r="B69" s="64"/>
    </row>
    <row r="70" spans="1:2" ht="17.25">
      <c r="A70" s="64"/>
      <c r="B70" s="64"/>
    </row>
    <row r="71" spans="1:2" ht="17.25">
      <c r="A71" s="64"/>
      <c r="B71" s="64"/>
    </row>
    <row r="72" spans="1:2" ht="17.25">
      <c r="A72" s="64"/>
      <c r="B72" s="64"/>
    </row>
    <row r="73" spans="1:2" ht="17.25">
      <c r="A73" s="64"/>
      <c r="B73" s="64"/>
    </row>
    <row r="74" spans="1:2" ht="17.25">
      <c r="A74" s="64"/>
      <c r="B74" s="64"/>
    </row>
    <row r="75" spans="1:2" ht="17.25">
      <c r="A75" s="64"/>
      <c r="B75" s="64"/>
    </row>
    <row r="76" spans="1:2" ht="17.25">
      <c r="A76" s="64"/>
      <c r="B76" s="64"/>
    </row>
    <row r="77" spans="1:2" ht="17.25">
      <c r="A77" s="64"/>
      <c r="B77" s="64"/>
    </row>
  </sheetData>
  <sheetProtection/>
  <mergeCells count="9">
    <mergeCell ref="B2:E2"/>
    <mergeCell ref="B3:C3"/>
    <mergeCell ref="J5:K5"/>
    <mergeCell ref="N5:O5"/>
    <mergeCell ref="B5:C5"/>
    <mergeCell ref="D5:E5"/>
    <mergeCell ref="F5:G5"/>
    <mergeCell ref="H5:I5"/>
    <mergeCell ref="L5:M5"/>
  </mergeCells>
  <printOptions/>
  <pageMargins left="0.53" right="0.26" top="0.46" bottom="0.57" header="0.2" footer="0"/>
  <pageSetup horizontalDpi="600" verticalDpi="600" orientation="landscape" paperSize="5" r:id="rId2"/>
  <headerFooter alignWithMargins="0">
    <oddHeader>&amp;R&amp;"Palatino Linotype,Normal"&amp;10CONTADURIA MUNICIPAL</oddHeader>
    <oddFooter>&amp;L&amp;"Gill Sans MT Shadow,Regular"&amp;8&amp;D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F1">
      <selection activeCell="P16" sqref="P16"/>
    </sheetView>
  </sheetViews>
  <sheetFormatPr defaultColWidth="11.421875" defaultRowHeight="15"/>
  <cols>
    <col min="1" max="1" width="15.57421875" style="1" customWidth="1"/>
    <col min="2" max="2" width="9.140625" style="1" customWidth="1"/>
    <col min="3" max="3" width="12.7109375" style="1" customWidth="1"/>
    <col min="4" max="4" width="9.421875" style="1" customWidth="1"/>
    <col min="5" max="5" width="10.421875" style="1" customWidth="1"/>
    <col min="6" max="6" width="9.28125" style="1" customWidth="1"/>
    <col min="7" max="7" width="10.28125" style="1" customWidth="1"/>
    <col min="8" max="8" width="7.421875" style="1" customWidth="1"/>
    <col min="9" max="9" width="8.7109375" style="1" customWidth="1"/>
    <col min="10" max="10" width="7.57421875" style="1" customWidth="1"/>
    <col min="11" max="11" width="10.140625" style="1" customWidth="1"/>
    <col min="12" max="12" width="7.57421875" style="1" customWidth="1"/>
    <col min="13" max="13" width="9.28125" style="1" customWidth="1"/>
    <col min="14" max="14" width="9.57421875" style="1" customWidth="1"/>
    <col min="15" max="15" width="11.8515625" style="1" customWidth="1"/>
    <col min="16" max="16" width="12.140625" style="1" customWidth="1"/>
    <col min="17" max="17" width="12.28125" style="1" customWidth="1"/>
    <col min="18" max="18" width="11.28125" style="1" customWidth="1"/>
    <col min="19" max="16384" width="11.421875" style="1" customWidth="1"/>
  </cols>
  <sheetData>
    <row r="1" spans="14:15" ht="16.5">
      <c r="N1" s="72"/>
      <c r="O1" s="72"/>
    </row>
    <row r="2" spans="1:15" ht="18">
      <c r="A2" s="146" t="s">
        <v>0</v>
      </c>
      <c r="B2" s="165" t="s">
        <v>123</v>
      </c>
      <c r="C2" s="177"/>
      <c r="D2" s="177"/>
      <c r="E2" s="177"/>
      <c r="F2" s="177"/>
      <c r="G2" s="178"/>
      <c r="L2" s="174" t="s">
        <v>23</v>
      </c>
      <c r="M2" s="175"/>
      <c r="N2" s="150">
        <v>41030</v>
      </c>
      <c r="O2" s="73"/>
    </row>
    <row r="3" spans="2:5" ht="12.75" customHeight="1">
      <c r="B3" s="176"/>
      <c r="C3" s="176"/>
      <c r="D3" s="176"/>
      <c r="E3" s="176"/>
    </row>
    <row r="4" spans="15:16" ht="18" thickBot="1">
      <c r="O4" s="74"/>
      <c r="P4" s="65"/>
    </row>
    <row r="5" spans="1:17" ht="17.25">
      <c r="A5" s="25"/>
      <c r="B5" s="172" t="s">
        <v>1</v>
      </c>
      <c r="C5" s="173"/>
      <c r="D5" s="172" t="s">
        <v>2</v>
      </c>
      <c r="E5" s="173"/>
      <c r="F5" s="172" t="s">
        <v>3</v>
      </c>
      <c r="G5" s="173"/>
      <c r="H5" s="179" t="s">
        <v>92</v>
      </c>
      <c r="I5" s="180"/>
      <c r="J5" s="172" t="s">
        <v>32</v>
      </c>
      <c r="K5" s="173"/>
      <c r="L5" s="172" t="s">
        <v>36</v>
      </c>
      <c r="M5" s="173"/>
      <c r="N5" s="172" t="s">
        <v>33</v>
      </c>
      <c r="O5" s="173"/>
      <c r="P5" s="26" t="s">
        <v>5</v>
      </c>
      <c r="Q5" s="26" t="s">
        <v>38</v>
      </c>
    </row>
    <row r="6" spans="1:17" ht="17.25">
      <c r="A6" s="27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6" t="s">
        <v>25</v>
      </c>
      <c r="Q6" s="30" t="s">
        <v>39</v>
      </c>
    </row>
    <row r="7" spans="1:18" ht="17.25">
      <c r="A7" s="31" t="s">
        <v>14</v>
      </c>
      <c r="B7" s="32">
        <v>630656</v>
      </c>
      <c r="C7" s="33">
        <f>22466.07+157777.53+6421.09+28011.44+19350.11+95609.16+6818.75+34867.62</f>
        <v>371321.77</v>
      </c>
      <c r="D7" s="68">
        <v>1200</v>
      </c>
      <c r="E7" s="33">
        <v>540</v>
      </c>
      <c r="F7" s="68">
        <v>33200</v>
      </c>
      <c r="G7" s="33">
        <f>5088.58+15992.98</f>
        <v>21081.559999999998</v>
      </c>
      <c r="H7" s="68">
        <v>0</v>
      </c>
      <c r="I7" s="33">
        <v>0</v>
      </c>
      <c r="J7" s="68">
        <v>3000</v>
      </c>
      <c r="K7" s="33">
        <v>0</v>
      </c>
      <c r="L7" s="68">
        <v>0</v>
      </c>
      <c r="M7" s="33">
        <v>0</v>
      </c>
      <c r="N7" s="68">
        <v>1200000</v>
      </c>
      <c r="O7" s="33">
        <f>12409.37+262131.1</f>
        <v>274540.47000000003</v>
      </c>
      <c r="P7" s="34">
        <f>+C7+E7+G7+K7+O7+I7</f>
        <v>667483.8</v>
      </c>
      <c r="Q7" s="34">
        <f aca="true" t="shared" si="0" ref="Q7:Q13">+B7+D7+F7+J7+N7+H7-P7</f>
        <v>1200572.2</v>
      </c>
      <c r="R7" s="158"/>
    </row>
    <row r="8" spans="1:17" ht="17.25">
      <c r="A8" s="31" t="s">
        <v>6</v>
      </c>
      <c r="B8" s="32">
        <v>569069</v>
      </c>
      <c r="C8" s="33">
        <f>60293.75+196194.92+8790.51+42082.36</f>
        <v>307361.54</v>
      </c>
      <c r="D8" s="68">
        <v>4000</v>
      </c>
      <c r="E8" s="33">
        <v>0</v>
      </c>
      <c r="F8" s="68">
        <v>1152500</v>
      </c>
      <c r="G8" s="33">
        <f>14936.4+568565.9</f>
        <v>583502.3</v>
      </c>
      <c r="H8" s="68">
        <v>0</v>
      </c>
      <c r="I8" s="33">
        <v>0</v>
      </c>
      <c r="J8" s="68">
        <v>26000</v>
      </c>
      <c r="K8" s="33">
        <v>0</v>
      </c>
      <c r="L8" s="68">
        <v>0</v>
      </c>
      <c r="M8" s="33">
        <v>0</v>
      </c>
      <c r="N8" s="68">
        <v>0</v>
      </c>
      <c r="O8" s="33">
        <v>29493.02</v>
      </c>
      <c r="P8" s="34">
        <f>+C8+E8+G8+K8+O8+I8</f>
        <v>920356.8600000001</v>
      </c>
      <c r="Q8" s="34">
        <f t="shared" si="0"/>
        <v>831212.1399999999</v>
      </c>
    </row>
    <row r="9" spans="1:18" ht="17.25">
      <c r="A9" s="31" t="s">
        <v>101</v>
      </c>
      <c r="B9" s="32">
        <v>1430360</v>
      </c>
      <c r="C9" s="33">
        <f>50901.04+275465.24+18473.63+83185.55+6567.93+22847.61+13288.75+57615.21</f>
        <v>528344.96</v>
      </c>
      <c r="D9" s="68">
        <v>76200</v>
      </c>
      <c r="E9" s="33">
        <v>162.45</v>
      </c>
      <c r="F9" s="68">
        <v>79750</v>
      </c>
      <c r="G9" s="33">
        <f>3350+59548.51</f>
        <v>62898.51</v>
      </c>
      <c r="H9" s="68">
        <v>0</v>
      </c>
      <c r="I9" s="33">
        <v>0</v>
      </c>
      <c r="J9" s="68">
        <v>26100</v>
      </c>
      <c r="K9" s="33">
        <v>4658</v>
      </c>
      <c r="L9" s="68">
        <v>0</v>
      </c>
      <c r="M9" s="33">
        <v>0</v>
      </c>
      <c r="N9" s="68">
        <v>0</v>
      </c>
      <c r="O9" s="33">
        <v>73954.05</v>
      </c>
      <c r="P9" s="34">
        <f>+C9+E9+G9+K9+O9+I9</f>
        <v>670017.97</v>
      </c>
      <c r="Q9" s="34">
        <f t="shared" si="0"/>
        <v>942392.03</v>
      </c>
      <c r="R9" s="5"/>
    </row>
    <row r="10" spans="1:17" ht="17.25">
      <c r="A10" s="31" t="s">
        <v>7</v>
      </c>
      <c r="B10" s="32">
        <v>413795</v>
      </c>
      <c r="C10" s="33">
        <f>27624.8+143166.06+3484.99+16680.15</f>
        <v>190955.99999999997</v>
      </c>
      <c r="D10" s="68">
        <v>183000</v>
      </c>
      <c r="E10" s="33">
        <v>33690.75</v>
      </c>
      <c r="F10" s="68">
        <f>33000-20000</f>
        <v>13000</v>
      </c>
      <c r="G10" s="33">
        <f>568.46+4156.71</f>
        <v>4725.17</v>
      </c>
      <c r="H10" s="68">
        <v>0</v>
      </c>
      <c r="I10" s="33">
        <v>0</v>
      </c>
      <c r="J10" s="68">
        <v>522000</v>
      </c>
      <c r="K10" s="33">
        <v>22505.9</v>
      </c>
      <c r="L10" s="68">
        <v>0</v>
      </c>
      <c r="M10" s="33">
        <v>0</v>
      </c>
      <c r="N10" s="68">
        <v>0</v>
      </c>
      <c r="O10" s="33">
        <v>25272.01</v>
      </c>
      <c r="P10" s="34">
        <f>+C10+E10+G10+K10+O10+I10+M10</f>
        <v>277149.82999999996</v>
      </c>
      <c r="Q10" s="34">
        <f t="shared" si="0"/>
        <v>854645.17</v>
      </c>
    </row>
    <row r="11" spans="1:19" ht="17.25">
      <c r="A11" s="31" t="s">
        <v>9</v>
      </c>
      <c r="B11" s="32">
        <v>1055712</v>
      </c>
      <c r="C11" s="33">
        <f>76939.55+350760.21</f>
        <v>427699.76</v>
      </c>
      <c r="D11" s="68">
        <v>12600</v>
      </c>
      <c r="E11" s="33">
        <f>34.5+6103.8</f>
        <v>6138.3</v>
      </c>
      <c r="F11" s="68">
        <v>269200</v>
      </c>
      <c r="G11" s="33">
        <f>3664.05+213297.93</f>
        <v>216961.97999999998</v>
      </c>
      <c r="H11" s="68">
        <v>0</v>
      </c>
      <c r="I11" s="33">
        <v>0</v>
      </c>
      <c r="J11" s="68">
        <v>36360</v>
      </c>
      <c r="K11" s="33">
        <f>1410+7606</f>
        <v>9016</v>
      </c>
      <c r="L11" s="68">
        <v>0</v>
      </c>
      <c r="M11" s="33">
        <v>0</v>
      </c>
      <c r="N11" s="68">
        <v>0</v>
      </c>
      <c r="O11" s="33">
        <v>55493.61</v>
      </c>
      <c r="P11" s="34">
        <f>+C11+E11+G11+K11+O11+I11</f>
        <v>715309.65</v>
      </c>
      <c r="Q11" s="34">
        <f t="shared" si="0"/>
        <v>658562.35</v>
      </c>
      <c r="S11" s="5"/>
    </row>
    <row r="12" spans="1:17" ht="17.25">
      <c r="A12" s="31" t="s">
        <v>8</v>
      </c>
      <c r="B12" s="32">
        <v>1072358</v>
      </c>
      <c r="C12" s="33">
        <f>86971.8+383511.59+7240.18+25938.71+7794.46+33978.11</f>
        <v>545434.8500000001</v>
      </c>
      <c r="D12" s="68">
        <f>3061375-300000</f>
        <v>2761375</v>
      </c>
      <c r="E12" s="33">
        <f>211226.01+492677.82</f>
        <v>703903.8300000001</v>
      </c>
      <c r="F12" s="68">
        <v>29400</v>
      </c>
      <c r="G12" s="33">
        <f>4200+81884.95</f>
        <v>86084.95</v>
      </c>
      <c r="H12" s="68">
        <v>0</v>
      </c>
      <c r="I12" s="33">
        <v>0</v>
      </c>
      <c r="J12" s="68">
        <v>27600</v>
      </c>
      <c r="K12" s="33">
        <f>2710+1150</f>
        <v>3860</v>
      </c>
      <c r="L12" s="68">
        <v>0</v>
      </c>
      <c r="M12" s="33">
        <v>932.08</v>
      </c>
      <c r="N12" s="68">
        <v>0</v>
      </c>
      <c r="O12" s="33">
        <v>110009.6</v>
      </c>
      <c r="P12" s="34">
        <f>+C12+E12+G12+K12+O12+I12+M12</f>
        <v>1450225.3100000003</v>
      </c>
      <c r="Q12" s="34">
        <f t="shared" si="0"/>
        <v>2440507.6899999995</v>
      </c>
    </row>
    <row r="13" spans="1:17" ht="17.25">
      <c r="A13" s="31" t="s">
        <v>10</v>
      </c>
      <c r="B13" s="32">
        <v>215405</v>
      </c>
      <c r="C13" s="33">
        <f>4392.14+22288.54</f>
        <v>26680.68</v>
      </c>
      <c r="D13" s="68">
        <v>200</v>
      </c>
      <c r="E13" s="33">
        <v>77.99</v>
      </c>
      <c r="F13" s="68">
        <v>11000</v>
      </c>
      <c r="G13" s="33">
        <v>2416.11</v>
      </c>
      <c r="H13" s="68">
        <v>0</v>
      </c>
      <c r="I13" s="33">
        <v>0</v>
      </c>
      <c r="J13" s="68">
        <v>3900</v>
      </c>
      <c r="K13" s="33">
        <v>4380</v>
      </c>
      <c r="L13" s="68">
        <v>0</v>
      </c>
      <c r="M13" s="33">
        <v>0</v>
      </c>
      <c r="N13" s="68">
        <v>0</v>
      </c>
      <c r="O13" s="33">
        <v>3572.55</v>
      </c>
      <c r="P13" s="34">
        <f>+C13+E13+G13+K13+O13+I13</f>
        <v>37127.33</v>
      </c>
      <c r="Q13" s="34">
        <f t="shared" si="0"/>
        <v>193377.66999999998</v>
      </c>
    </row>
    <row r="14" spans="1:17" ht="18" thickBot="1">
      <c r="A14" s="38" t="s">
        <v>11</v>
      </c>
      <c r="B14" s="39">
        <f aca="true" t="shared" si="1" ref="B14:O14">SUM(B7:B13)</f>
        <v>5387355</v>
      </c>
      <c r="C14" s="40">
        <f t="shared" si="1"/>
        <v>2397799.56</v>
      </c>
      <c r="D14" s="39">
        <f t="shared" si="1"/>
        <v>3038575</v>
      </c>
      <c r="E14" s="40">
        <f t="shared" si="1"/>
        <v>744513.3200000001</v>
      </c>
      <c r="F14" s="77">
        <f t="shared" si="1"/>
        <v>1588050</v>
      </c>
      <c r="G14" s="40">
        <f t="shared" si="1"/>
        <v>977670.5800000001</v>
      </c>
      <c r="H14" s="77">
        <f t="shared" si="1"/>
        <v>0</v>
      </c>
      <c r="I14" s="40">
        <f t="shared" si="1"/>
        <v>0</v>
      </c>
      <c r="J14" s="39">
        <f t="shared" si="1"/>
        <v>644960</v>
      </c>
      <c r="K14" s="40">
        <f t="shared" si="1"/>
        <v>44419.9</v>
      </c>
      <c r="L14" s="39">
        <f>SUM(L7:L13)</f>
        <v>0</v>
      </c>
      <c r="M14" s="40">
        <f>SUM(M7:M13)</f>
        <v>932.08</v>
      </c>
      <c r="N14" s="39">
        <f t="shared" si="1"/>
        <v>1200000</v>
      </c>
      <c r="O14" s="40">
        <f t="shared" si="1"/>
        <v>572335.31</v>
      </c>
      <c r="P14" s="42">
        <f>SUM(P7:P13)</f>
        <v>4737670.75</v>
      </c>
      <c r="Q14" s="42">
        <f>SUM(Q7:Q13)</f>
        <v>7121269.249999999</v>
      </c>
    </row>
    <row r="15" spans="1:17" ht="17.25" thickBot="1">
      <c r="A15" s="43" t="s">
        <v>30</v>
      </c>
      <c r="B15" s="44"/>
      <c r="C15" s="139">
        <f>+C14/B14</f>
        <v>0.4450791826415746</v>
      </c>
      <c r="D15" s="139"/>
      <c r="E15" s="139">
        <f>+E14/D14</f>
        <v>0.24502055075158588</v>
      </c>
      <c r="F15" s="139"/>
      <c r="G15" s="139">
        <f>+G14/F14</f>
        <v>0.6156421901073644</v>
      </c>
      <c r="H15" s="45"/>
      <c r="I15" s="45"/>
      <c r="J15" s="45"/>
      <c r="K15" s="139">
        <f>+K14/J14</f>
        <v>0.0688723331679484</v>
      </c>
      <c r="L15" s="47"/>
      <c r="M15" s="47"/>
      <c r="N15" s="47"/>
      <c r="O15" s="141">
        <f>+O14/N14</f>
        <v>0.47694609166666674</v>
      </c>
      <c r="P15" s="58"/>
      <c r="Q15" s="5"/>
    </row>
    <row r="16" spans="1:17" ht="16.5">
      <c r="A16" s="49"/>
      <c r="B16" s="49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140"/>
      <c r="Q16" s="5"/>
    </row>
    <row r="17" ht="16.5">
      <c r="P17" s="5"/>
    </row>
    <row r="39" spans="1:6" ht="16.5">
      <c r="A39" s="53"/>
      <c r="B39" s="53"/>
      <c r="C39" s="53"/>
      <c r="D39" s="53"/>
      <c r="E39" s="53"/>
      <c r="F39" s="53"/>
    </row>
    <row r="41" spans="3:6" ht="16.5">
      <c r="C41" s="52"/>
      <c r="D41" s="5"/>
      <c r="E41" s="53"/>
      <c r="F41" s="53"/>
    </row>
    <row r="42" spans="3:6" ht="16.5">
      <c r="C42" s="52"/>
      <c r="D42" s="5"/>
      <c r="E42" s="53"/>
      <c r="F42" s="53"/>
    </row>
    <row r="43" spans="3:6" ht="16.5"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6" spans="3:6" ht="16.5">
      <c r="C46" s="52"/>
      <c r="D46" s="5"/>
      <c r="E46" s="53"/>
      <c r="F46" s="53"/>
    </row>
    <row r="48" spans="1:4" ht="16.5">
      <c r="A48" s="62" t="s">
        <v>26</v>
      </c>
      <c r="B48" s="62" t="s">
        <v>27</v>
      </c>
      <c r="C48" s="62" t="s">
        <v>28</v>
      </c>
      <c r="D48" s="5"/>
    </row>
    <row r="49" spans="1:3" ht="16.5">
      <c r="A49" s="1">
        <f>+B14</f>
        <v>5387355</v>
      </c>
      <c r="B49" s="52">
        <f>+C14</f>
        <v>2397799.56</v>
      </c>
      <c r="C49" s="62" t="s">
        <v>1</v>
      </c>
    </row>
    <row r="50" spans="1:3" ht="16.5">
      <c r="A50" s="1">
        <f>+D14</f>
        <v>3038575</v>
      </c>
      <c r="B50" s="52">
        <f>+E14</f>
        <v>744513.3200000001</v>
      </c>
      <c r="C50" s="62" t="s">
        <v>2</v>
      </c>
    </row>
    <row r="51" spans="1:3" ht="16.5">
      <c r="A51" s="1">
        <f>+F14</f>
        <v>1588050</v>
      </c>
      <c r="B51" s="52">
        <f>+G14</f>
        <v>977670.5800000001</v>
      </c>
      <c r="C51" s="62" t="s">
        <v>3</v>
      </c>
    </row>
    <row r="52" spans="1:3" ht="16.5" hidden="1">
      <c r="A52" s="78">
        <f>+H14</f>
        <v>0</v>
      </c>
      <c r="B52" s="52">
        <f>+I14</f>
        <v>0</v>
      </c>
      <c r="C52" s="62" t="s">
        <v>34</v>
      </c>
    </row>
    <row r="53" spans="1:3" ht="16.5">
      <c r="A53" s="1">
        <f>+J14</f>
        <v>644960</v>
      </c>
      <c r="B53" s="5">
        <f>+K14</f>
        <v>44419.9</v>
      </c>
      <c r="C53" s="62" t="s">
        <v>32</v>
      </c>
    </row>
    <row r="54" spans="1:3" ht="16.5" hidden="1">
      <c r="A54" s="1">
        <v>0</v>
      </c>
      <c r="B54" s="5">
        <f>+M14</f>
        <v>932.08</v>
      </c>
      <c r="C54" s="62" t="s">
        <v>102</v>
      </c>
    </row>
    <row r="55" spans="1:3" ht="17.25">
      <c r="A55" s="1">
        <f>+N14</f>
        <v>1200000</v>
      </c>
      <c r="B55" s="65">
        <f>+O14</f>
        <v>572335.31</v>
      </c>
      <c r="C55" s="62" t="s">
        <v>35</v>
      </c>
    </row>
    <row r="56" ht="16.5">
      <c r="C56" s="63"/>
    </row>
    <row r="57" spans="1:3" ht="17.25">
      <c r="A57" s="1">
        <v>2487582</v>
      </c>
      <c r="B57" s="65">
        <v>786542.11</v>
      </c>
      <c r="C57" s="63"/>
    </row>
    <row r="58" ht="16.5">
      <c r="C58" s="63"/>
    </row>
    <row r="59" ht="16.5">
      <c r="C59" s="63"/>
    </row>
    <row r="60" ht="16.5">
      <c r="C60" s="63"/>
    </row>
    <row r="61" ht="16.5">
      <c r="C61" s="63"/>
    </row>
    <row r="62" ht="16.5">
      <c r="C62" s="63"/>
    </row>
    <row r="63" ht="16.5">
      <c r="C63" s="63"/>
    </row>
  </sheetData>
  <sheetProtection/>
  <mergeCells count="10">
    <mergeCell ref="N5:O5"/>
    <mergeCell ref="B5:C5"/>
    <mergeCell ref="D5:E5"/>
    <mergeCell ref="F5:G5"/>
    <mergeCell ref="L5:M5"/>
    <mergeCell ref="L2:M2"/>
    <mergeCell ref="B3:E3"/>
    <mergeCell ref="J5:K5"/>
    <mergeCell ref="B2:G2"/>
    <mergeCell ref="H5:I5"/>
  </mergeCells>
  <printOptions/>
  <pageMargins left="0.84" right="0.63" top="0.78" bottom="0.5" header="0.42" footer="0"/>
  <pageSetup horizontalDpi="600" verticalDpi="600" orientation="landscape" paperSize="5" r:id="rId2"/>
  <headerFooter alignWithMargins="0">
    <oddHeader>&amp;R&amp;"Palatino Linotype,Normal"&amp;10CONTADURIA MUNICIPA&amp;"Gill Sans MT Shadow,Normal"L</oddHeader>
    <oddFooter>&amp;L&amp;"Gill Sans MT Shadow,Regular"&amp;8&amp;D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56"/>
  <sheetViews>
    <sheetView zoomScalePageLayoutView="0" workbookViewId="0" topLeftCell="A1">
      <selection activeCell="P19" sqref="P19"/>
    </sheetView>
  </sheetViews>
  <sheetFormatPr defaultColWidth="11.421875" defaultRowHeight="15"/>
  <cols>
    <col min="1" max="1" width="17.00390625" style="1" customWidth="1"/>
    <col min="2" max="2" width="10.57421875" style="1" customWidth="1"/>
    <col min="3" max="3" width="12.421875" style="1" customWidth="1"/>
    <col min="4" max="4" width="7.7109375" style="1" customWidth="1"/>
    <col min="5" max="5" width="9.421875" style="1" customWidth="1"/>
    <col min="6" max="6" width="9.140625" style="1" customWidth="1"/>
    <col min="7" max="7" width="12.28125" style="1" customWidth="1"/>
    <col min="8" max="8" width="9.140625" style="1" customWidth="1"/>
    <col min="9" max="9" width="12.421875" style="1" customWidth="1"/>
    <col min="10" max="10" width="7.00390625" style="1" customWidth="1"/>
    <col min="11" max="11" width="9.7109375" style="1" customWidth="1"/>
    <col min="12" max="12" width="7.57421875" style="1" customWidth="1"/>
    <col min="13" max="13" width="8.8515625" style="1" customWidth="1"/>
    <col min="14" max="14" width="9.28125" style="1" customWidth="1"/>
    <col min="15" max="15" width="12.140625" style="1" customWidth="1"/>
    <col min="16" max="16" width="13.57421875" style="1" customWidth="1"/>
    <col min="17" max="17" width="12.421875" style="1" customWidth="1"/>
    <col min="18" max="18" width="13.8515625" style="1" bestFit="1" customWidth="1"/>
    <col min="19" max="16384" width="11.421875" style="1" customWidth="1"/>
  </cols>
  <sheetData>
    <row r="2" spans="1:15" ht="18">
      <c r="A2" s="146" t="s">
        <v>0</v>
      </c>
      <c r="B2" s="165" t="s">
        <v>106</v>
      </c>
      <c r="C2" s="165"/>
      <c r="D2" s="181"/>
      <c r="E2" s="181"/>
      <c r="F2" s="178"/>
      <c r="I2" s="174" t="s">
        <v>23</v>
      </c>
      <c r="J2" s="174"/>
      <c r="K2" s="150">
        <v>41030</v>
      </c>
      <c r="L2" s="122"/>
      <c r="M2" s="122"/>
      <c r="N2" s="123"/>
      <c r="O2" s="56"/>
    </row>
    <row r="3" spans="2:4" ht="16.5">
      <c r="B3" s="182"/>
      <c r="C3" s="182"/>
      <c r="D3" s="67"/>
    </row>
    <row r="4" ht="17.25" thickBot="1"/>
    <row r="5" spans="1:17" ht="17.25">
      <c r="A5" s="25"/>
      <c r="B5" s="172" t="s">
        <v>1</v>
      </c>
      <c r="C5" s="173"/>
      <c r="D5" s="172" t="s">
        <v>2</v>
      </c>
      <c r="E5" s="173"/>
      <c r="F5" s="172" t="s">
        <v>3</v>
      </c>
      <c r="G5" s="173"/>
      <c r="H5" s="172" t="s">
        <v>4</v>
      </c>
      <c r="I5" s="173"/>
      <c r="J5" s="172" t="s">
        <v>32</v>
      </c>
      <c r="K5" s="173"/>
      <c r="L5" s="172" t="s">
        <v>36</v>
      </c>
      <c r="M5" s="173"/>
      <c r="N5" s="172" t="s">
        <v>33</v>
      </c>
      <c r="O5" s="173"/>
      <c r="P5" s="26" t="s">
        <v>5</v>
      </c>
      <c r="Q5" s="26" t="s">
        <v>38</v>
      </c>
    </row>
    <row r="6" spans="1:17" ht="17.25">
      <c r="A6" s="27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6" t="s">
        <v>25</v>
      </c>
      <c r="Q6" s="30" t="s">
        <v>39</v>
      </c>
    </row>
    <row r="7" spans="1:18" ht="17.25">
      <c r="A7" s="31" t="s">
        <v>14</v>
      </c>
      <c r="B7" s="32">
        <v>1307158</v>
      </c>
      <c r="C7" s="33">
        <f>103582.74+436313.51+5576.55+28929.1</f>
        <v>574401.9</v>
      </c>
      <c r="D7" s="32">
        <v>225853</v>
      </c>
      <c r="E7" s="33">
        <f>43563.5+20468.03</f>
        <v>64031.53</v>
      </c>
      <c r="F7" s="32">
        <v>2352958</v>
      </c>
      <c r="G7" s="33">
        <f>120071.57+567400.52</f>
        <v>687472.0900000001</v>
      </c>
      <c r="H7" s="32">
        <v>5435737</v>
      </c>
      <c r="I7" s="33">
        <f>393566.04+938566.51</f>
        <v>1332132.55</v>
      </c>
      <c r="J7" s="32">
        <v>90617</v>
      </c>
      <c r="K7" s="33">
        <f>16108.25+15161.56</f>
        <v>31269.809999999998</v>
      </c>
      <c r="L7" s="32">
        <v>0</v>
      </c>
      <c r="M7" s="37">
        <f>876.4+4310</f>
        <v>5186.4</v>
      </c>
      <c r="N7" s="32">
        <f>500000+800000</f>
        <v>1300000</v>
      </c>
      <c r="O7" s="33">
        <f>24412.6+990608.61</f>
        <v>1015021.21</v>
      </c>
      <c r="P7" s="34">
        <f aca="true" t="shared" si="0" ref="P7:P12">+C7+E7+G7+I7+K7+O7+M7</f>
        <v>3709515.49</v>
      </c>
      <c r="Q7" s="34">
        <f aca="true" t="shared" si="1" ref="Q7:Q12">+B7+D7+F7+H7+J7+N7-P7</f>
        <v>7002807.51</v>
      </c>
      <c r="R7" s="5"/>
    </row>
    <row r="8" spans="1:18" ht="17.25">
      <c r="A8" s="31" t="s">
        <v>75</v>
      </c>
      <c r="B8" s="32">
        <v>465405</v>
      </c>
      <c r="C8" s="33">
        <f>22084.21+117172.1+9235.81</f>
        <v>148492.12</v>
      </c>
      <c r="D8" s="32">
        <v>0</v>
      </c>
      <c r="E8" s="33">
        <v>3345.06</v>
      </c>
      <c r="F8" s="32">
        <v>0</v>
      </c>
      <c r="G8" s="33">
        <f>151890.29+331398.64</f>
        <v>483288.93000000005</v>
      </c>
      <c r="H8" s="32">
        <v>0</v>
      </c>
      <c r="I8" s="33">
        <f>71623.51+353013.96</f>
        <v>424637.47000000003</v>
      </c>
      <c r="J8" s="32">
        <v>0</v>
      </c>
      <c r="K8" s="33">
        <v>0</v>
      </c>
      <c r="L8" s="32">
        <v>0</v>
      </c>
      <c r="M8" s="37">
        <v>0</v>
      </c>
      <c r="N8" s="32">
        <v>0</v>
      </c>
      <c r="O8" s="33">
        <f>12250+90017.1</f>
        <v>102267.1</v>
      </c>
      <c r="P8" s="34">
        <f t="shared" si="0"/>
        <v>1162030.6800000002</v>
      </c>
      <c r="Q8" s="34">
        <f t="shared" si="1"/>
        <v>-696625.6800000002</v>
      </c>
      <c r="R8" s="5"/>
    </row>
    <row r="9" spans="1:18" ht="17.25">
      <c r="A9" s="31" t="s">
        <v>82</v>
      </c>
      <c r="B9" s="32">
        <v>3302855</v>
      </c>
      <c r="C9" s="33">
        <f>253221.42+1016674.3</f>
        <v>1269895.72</v>
      </c>
      <c r="D9" s="32">
        <v>0</v>
      </c>
      <c r="E9" s="33">
        <v>4561.59</v>
      </c>
      <c r="F9" s="32">
        <v>0</v>
      </c>
      <c r="G9" s="33">
        <f>549.6+1951.4+59667.38+153231.9</f>
        <v>215400.28</v>
      </c>
      <c r="H9" s="32">
        <v>0</v>
      </c>
      <c r="I9" s="33">
        <f>226371.18+506826.53</f>
        <v>733197.71</v>
      </c>
      <c r="J9" s="32">
        <v>0</v>
      </c>
      <c r="K9" s="33">
        <v>2571.1</v>
      </c>
      <c r="L9" s="32">
        <v>0</v>
      </c>
      <c r="M9" s="37">
        <v>0</v>
      </c>
      <c r="N9" s="32">
        <v>0</v>
      </c>
      <c r="O9" s="33">
        <v>96652.65</v>
      </c>
      <c r="P9" s="34">
        <f t="shared" si="0"/>
        <v>2322279.05</v>
      </c>
      <c r="Q9" s="34">
        <f t="shared" si="1"/>
        <v>980575.9500000002</v>
      </c>
      <c r="R9" s="5"/>
    </row>
    <row r="10" spans="1:18" ht="17.25">
      <c r="A10" s="31" t="s">
        <v>119</v>
      </c>
      <c r="B10" s="32">
        <v>4613182</v>
      </c>
      <c r="C10" s="33">
        <f>341375.01+1472774.4</f>
        <v>1814149.41</v>
      </c>
      <c r="D10" s="32">
        <v>0</v>
      </c>
      <c r="E10" s="33">
        <v>0</v>
      </c>
      <c r="F10" s="32">
        <v>0</v>
      </c>
      <c r="G10" s="33">
        <f>71528.74+122003.12</f>
        <v>193531.86</v>
      </c>
      <c r="H10" s="32">
        <v>0</v>
      </c>
      <c r="I10" s="33">
        <v>6671.04</v>
      </c>
      <c r="J10" s="32">
        <v>0</v>
      </c>
      <c r="K10" s="33">
        <v>0</v>
      </c>
      <c r="L10" s="32">
        <v>0</v>
      </c>
      <c r="M10" s="37">
        <v>0</v>
      </c>
      <c r="N10" s="32">
        <v>0</v>
      </c>
      <c r="O10" s="33">
        <v>112150.52</v>
      </c>
      <c r="P10" s="34">
        <f t="shared" si="0"/>
        <v>2126502.83</v>
      </c>
      <c r="Q10" s="34">
        <f t="shared" si="1"/>
        <v>2486679.17</v>
      </c>
      <c r="R10" s="5"/>
    </row>
    <row r="11" spans="1:18" ht="17.25">
      <c r="A11" s="31" t="s">
        <v>128</v>
      </c>
      <c r="B11" s="32">
        <v>1119623</v>
      </c>
      <c r="C11" s="33">
        <f>12453.22+14482.44+75231.4+338027.15</f>
        <v>440194.21</v>
      </c>
      <c r="D11" s="32">
        <v>0</v>
      </c>
      <c r="E11" s="33">
        <v>2248.8</v>
      </c>
      <c r="F11" s="32">
        <v>0</v>
      </c>
      <c r="G11" s="33">
        <f>44440.08+132656.9</f>
        <v>177096.97999999998</v>
      </c>
      <c r="H11" s="32">
        <v>0</v>
      </c>
      <c r="I11" s="33">
        <f>77638.63+321364.7</f>
        <v>399003.33</v>
      </c>
      <c r="J11" s="32">
        <v>0</v>
      </c>
      <c r="K11" s="33">
        <v>1287.5</v>
      </c>
      <c r="L11" s="32">
        <v>0</v>
      </c>
      <c r="M11" s="37">
        <v>842</v>
      </c>
      <c r="N11" s="32">
        <v>0</v>
      </c>
      <c r="O11" s="33">
        <v>122511.52</v>
      </c>
      <c r="P11" s="34">
        <f t="shared" si="0"/>
        <v>1143184.34</v>
      </c>
      <c r="Q11" s="34">
        <f t="shared" si="1"/>
        <v>-23561.340000000084</v>
      </c>
      <c r="R11" s="5"/>
    </row>
    <row r="12" spans="1:18" ht="17.25" hidden="1">
      <c r="A12" s="31" t="s">
        <v>76</v>
      </c>
      <c r="B12" s="32"/>
      <c r="C12" s="33"/>
      <c r="D12" s="32"/>
      <c r="E12" s="33"/>
      <c r="F12" s="32"/>
      <c r="G12" s="33"/>
      <c r="H12" s="32"/>
      <c r="I12" s="33"/>
      <c r="J12" s="32"/>
      <c r="K12" s="33"/>
      <c r="L12" s="32"/>
      <c r="M12" s="37"/>
      <c r="N12" s="32">
        <v>0</v>
      </c>
      <c r="O12" s="33"/>
      <c r="P12" s="34">
        <f t="shared" si="0"/>
        <v>0</v>
      </c>
      <c r="Q12" s="34">
        <f t="shared" si="1"/>
        <v>0</v>
      </c>
      <c r="R12" s="5"/>
    </row>
    <row r="13" spans="1:18" ht="18" thickBot="1">
      <c r="A13" s="38" t="s">
        <v>11</v>
      </c>
      <c r="B13" s="39">
        <f aca="true" t="shared" si="2" ref="B13:Q13">SUM(B7:B12)</f>
        <v>10808223</v>
      </c>
      <c r="C13" s="40">
        <f t="shared" si="2"/>
        <v>4247133.36</v>
      </c>
      <c r="D13" s="39">
        <f t="shared" si="2"/>
        <v>225853</v>
      </c>
      <c r="E13" s="40">
        <f t="shared" si="2"/>
        <v>74186.98</v>
      </c>
      <c r="F13" s="39">
        <f t="shared" si="2"/>
        <v>2352958</v>
      </c>
      <c r="G13" s="40">
        <f t="shared" si="2"/>
        <v>1756790.1400000001</v>
      </c>
      <c r="H13" s="39">
        <f t="shared" si="2"/>
        <v>5435737</v>
      </c>
      <c r="I13" s="40">
        <f t="shared" si="2"/>
        <v>2895642.1</v>
      </c>
      <c r="J13" s="39">
        <f t="shared" si="2"/>
        <v>90617</v>
      </c>
      <c r="K13" s="40">
        <f>SUM(K7:K12)</f>
        <v>35128.409999999996</v>
      </c>
      <c r="L13" s="39">
        <f>SUM(L7:L12)</f>
        <v>0</v>
      </c>
      <c r="M13" s="40">
        <f>SUM(M7:M12)</f>
        <v>6028.4</v>
      </c>
      <c r="N13" s="39">
        <f t="shared" si="2"/>
        <v>1300000</v>
      </c>
      <c r="O13" s="40">
        <f>SUM(O7:O12)</f>
        <v>1448603</v>
      </c>
      <c r="P13" s="42">
        <f t="shared" si="2"/>
        <v>10463512.39</v>
      </c>
      <c r="Q13" s="42">
        <f t="shared" si="2"/>
        <v>9749875.61</v>
      </c>
      <c r="R13" s="5"/>
    </row>
    <row r="14" spans="1:17" ht="17.25" thickBot="1">
      <c r="A14" s="43" t="s">
        <v>30</v>
      </c>
      <c r="B14" s="44"/>
      <c r="C14" s="139">
        <f>+C13/B13</f>
        <v>0.3929538981569866</v>
      </c>
      <c r="D14" s="45"/>
      <c r="E14" s="139">
        <f>+E13/D13</f>
        <v>0.328474627301829</v>
      </c>
      <c r="F14" s="45"/>
      <c r="G14" s="139">
        <f>+G13/F13</f>
        <v>0.7466304710921318</v>
      </c>
      <c r="H14" s="45"/>
      <c r="I14" s="139">
        <f>+I13/H13</f>
        <v>0.5327045992107419</v>
      </c>
      <c r="J14" s="45"/>
      <c r="K14" s="139">
        <f>+K13/J13</f>
        <v>0.387658055331781</v>
      </c>
      <c r="L14" s="47"/>
      <c r="M14" s="47"/>
      <c r="N14" s="45"/>
      <c r="O14" s="141">
        <f>+O13/N13</f>
        <v>1.11431</v>
      </c>
      <c r="P14" s="58"/>
      <c r="Q14" s="5"/>
    </row>
    <row r="15" spans="1:16" ht="16.5">
      <c r="A15" s="49"/>
      <c r="B15" s="4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140"/>
    </row>
    <row r="32" spans="5:8" ht="16.5">
      <c r="E32" s="59"/>
      <c r="F32" s="59"/>
      <c r="G32" s="60"/>
      <c r="H32" s="60"/>
    </row>
    <row r="33" spans="5:8" ht="16.5">
      <c r="E33" s="61"/>
      <c r="F33" s="61"/>
      <c r="G33" s="61"/>
      <c r="H33" s="61"/>
    </row>
    <row r="38" spans="1:6" ht="16.5">
      <c r="A38" s="53"/>
      <c r="B38" s="53"/>
      <c r="C38" s="53"/>
      <c r="D38" s="53"/>
      <c r="E38" s="53"/>
      <c r="F38" s="53"/>
    </row>
    <row r="39" ht="16.5">
      <c r="C39" s="48"/>
    </row>
    <row r="40" spans="3:6" ht="16.5">
      <c r="C40" s="52"/>
      <c r="D40" s="5"/>
      <c r="E40" s="53"/>
      <c r="F40" s="53"/>
    </row>
    <row r="41" spans="3:6" ht="16.5">
      <c r="C41" s="52"/>
      <c r="D41" s="5"/>
      <c r="E41" s="53"/>
      <c r="F41" s="53"/>
    </row>
    <row r="42" spans="3:6" ht="16.5">
      <c r="C42" s="52"/>
      <c r="D42" s="5"/>
      <c r="E42" s="53"/>
      <c r="F42" s="53"/>
    </row>
    <row r="43" spans="3:6" ht="16.5"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7" spans="1:5" ht="16.5">
      <c r="A47" s="62" t="s">
        <v>26</v>
      </c>
      <c r="B47" s="62" t="s">
        <v>27</v>
      </c>
      <c r="C47" s="62" t="s">
        <v>28</v>
      </c>
      <c r="D47" s="62"/>
      <c r="E47" s="63"/>
    </row>
    <row r="48" spans="1:3" ht="17.25">
      <c r="A48" s="64">
        <f>+B13</f>
        <v>10808223</v>
      </c>
      <c r="B48" s="65">
        <f>+C13</f>
        <v>4247133.36</v>
      </c>
      <c r="C48" s="62" t="s">
        <v>1</v>
      </c>
    </row>
    <row r="49" spans="1:3" ht="17.25">
      <c r="A49" s="64">
        <f>+D13</f>
        <v>225853</v>
      </c>
      <c r="B49" s="65">
        <f>+E13</f>
        <v>74186.98</v>
      </c>
      <c r="C49" s="62" t="s">
        <v>2</v>
      </c>
    </row>
    <row r="50" spans="1:3" ht="17.25">
      <c r="A50" s="64">
        <f>+F13</f>
        <v>2352958</v>
      </c>
      <c r="B50" s="65">
        <f>+G13</f>
        <v>1756790.1400000001</v>
      </c>
      <c r="C50" s="62" t="s">
        <v>3</v>
      </c>
    </row>
    <row r="51" spans="1:3" ht="17.25">
      <c r="A51" s="64">
        <f>+H13</f>
        <v>5435737</v>
      </c>
      <c r="B51" s="65">
        <f>+I13</f>
        <v>2895642.1</v>
      </c>
      <c r="C51" s="62" t="s">
        <v>34</v>
      </c>
    </row>
    <row r="52" spans="1:3" ht="17.25">
      <c r="A52" s="64">
        <f>+J13</f>
        <v>90617</v>
      </c>
      <c r="B52" s="65">
        <f>+K13</f>
        <v>35128.409999999996</v>
      </c>
      <c r="C52" s="62" t="s">
        <v>32</v>
      </c>
    </row>
    <row r="53" spans="1:3" ht="17.25">
      <c r="A53" s="66">
        <f>+L13</f>
        <v>0</v>
      </c>
      <c r="B53" s="65">
        <f>+M13</f>
        <v>6028.4</v>
      </c>
      <c r="C53" s="62" t="s">
        <v>95</v>
      </c>
    </row>
    <row r="54" spans="1:3" ht="17.25">
      <c r="A54" s="64">
        <f>+N13</f>
        <v>1300000</v>
      </c>
      <c r="B54" s="65">
        <f>+O13</f>
        <v>1448603</v>
      </c>
      <c r="C54" s="62" t="s">
        <v>35</v>
      </c>
    </row>
    <row r="55" spans="1:3" ht="17.25">
      <c r="A55" s="64"/>
      <c r="B55" s="64"/>
      <c r="C55" s="62"/>
    </row>
    <row r="56" spans="1:2" ht="16.5">
      <c r="A56" s="1">
        <v>2809993</v>
      </c>
      <c r="B56" s="5">
        <v>749308.3</v>
      </c>
    </row>
  </sheetData>
  <sheetProtection/>
  <mergeCells count="10">
    <mergeCell ref="B2:F2"/>
    <mergeCell ref="I2:J2"/>
    <mergeCell ref="B3:C3"/>
    <mergeCell ref="N5:O5"/>
    <mergeCell ref="J5:K5"/>
    <mergeCell ref="B5:C5"/>
    <mergeCell ref="D5:E5"/>
    <mergeCell ref="F5:G5"/>
    <mergeCell ref="H5:I5"/>
    <mergeCell ref="L5:M5"/>
  </mergeCells>
  <printOptions/>
  <pageMargins left="0.56" right="0.35" top="0.94" bottom="0.61" header="0.31" footer="0"/>
  <pageSetup horizontalDpi="600" verticalDpi="600" orientation="landscape" paperSize="5" r:id="rId2"/>
  <headerFooter alignWithMargins="0">
    <oddHeader>&amp;R&amp;"Palatino Linotype,Normal"&amp;10CONTADURIA MUNICIPAL</oddHeader>
    <oddFooter>&amp;L&amp;"Gill Sans MT Shadow,Regular"&amp;8&amp;D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60"/>
  <sheetViews>
    <sheetView zoomScalePageLayoutView="0" workbookViewId="0" topLeftCell="A1">
      <selection activeCell="N17" sqref="N17"/>
    </sheetView>
  </sheetViews>
  <sheetFormatPr defaultColWidth="11.421875" defaultRowHeight="15"/>
  <cols>
    <col min="1" max="1" width="13.28125" style="1" customWidth="1"/>
    <col min="2" max="2" width="9.28125" style="1" customWidth="1"/>
    <col min="3" max="3" width="12.140625" style="1" customWidth="1"/>
    <col min="4" max="4" width="7.8515625" style="1" customWidth="1"/>
    <col min="5" max="5" width="10.421875" style="1" customWidth="1"/>
    <col min="6" max="6" width="9.28125" style="1" customWidth="1"/>
    <col min="7" max="7" width="11.140625" style="1" customWidth="1"/>
    <col min="8" max="8" width="7.57421875" style="1" customWidth="1"/>
    <col min="9" max="9" width="9.00390625" style="1" customWidth="1"/>
    <col min="10" max="10" width="8.140625" style="1" customWidth="1"/>
    <col min="11" max="11" width="9.421875" style="1" customWidth="1"/>
    <col min="12" max="12" width="10.140625" style="1" customWidth="1"/>
    <col min="13" max="13" width="12.28125" style="1" customWidth="1"/>
    <col min="14" max="14" width="9.57421875" style="1" customWidth="1"/>
    <col min="15" max="15" width="12.00390625" style="1" customWidth="1"/>
    <col min="16" max="16" width="13.28125" style="1" customWidth="1"/>
    <col min="17" max="17" width="13.00390625" style="1" customWidth="1"/>
    <col min="18" max="18" width="13.8515625" style="1" bestFit="1" customWidth="1"/>
    <col min="19" max="16384" width="11.421875" style="1" customWidth="1"/>
  </cols>
  <sheetData>
    <row r="2" spans="1:15" ht="18">
      <c r="A2" s="146" t="s">
        <v>0</v>
      </c>
      <c r="B2" s="165" t="s">
        <v>107</v>
      </c>
      <c r="C2" s="184"/>
      <c r="D2" s="184"/>
      <c r="E2" s="170"/>
      <c r="F2" s="170"/>
      <c r="L2" s="174" t="s">
        <v>23</v>
      </c>
      <c r="M2" s="175"/>
      <c r="N2" s="150">
        <v>41030</v>
      </c>
      <c r="O2" s="56"/>
    </row>
    <row r="3" spans="2:4" ht="16.5">
      <c r="B3" s="182"/>
      <c r="C3" s="183"/>
      <c r="D3" s="183"/>
    </row>
    <row r="4" ht="17.25" thickBot="1"/>
    <row r="5" spans="1:17" ht="17.25">
      <c r="A5" s="25"/>
      <c r="B5" s="172" t="s">
        <v>1</v>
      </c>
      <c r="C5" s="173"/>
      <c r="D5" s="172" t="s">
        <v>2</v>
      </c>
      <c r="E5" s="173"/>
      <c r="F5" s="172" t="s">
        <v>3</v>
      </c>
      <c r="G5" s="173"/>
      <c r="H5" s="172" t="s">
        <v>4</v>
      </c>
      <c r="I5" s="173"/>
      <c r="J5" s="172" t="s">
        <v>81</v>
      </c>
      <c r="K5" s="173"/>
      <c r="L5" s="172" t="s">
        <v>36</v>
      </c>
      <c r="M5" s="173"/>
      <c r="N5" s="172" t="s">
        <v>33</v>
      </c>
      <c r="O5" s="173"/>
      <c r="P5" s="26" t="s">
        <v>5</v>
      </c>
      <c r="Q5" s="26" t="s">
        <v>38</v>
      </c>
    </row>
    <row r="6" spans="1:17" ht="17.25">
      <c r="A6" s="27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6" t="s">
        <v>25</v>
      </c>
      <c r="Q6" s="30" t="s">
        <v>39</v>
      </c>
    </row>
    <row r="7" spans="1:17" ht="7.5" customHeight="1">
      <c r="A7" s="97"/>
      <c r="B7" s="159"/>
      <c r="C7" s="160"/>
      <c r="D7" s="159"/>
      <c r="E7" s="160"/>
      <c r="F7" s="159"/>
      <c r="G7" s="160"/>
      <c r="H7" s="159"/>
      <c r="I7" s="159"/>
      <c r="J7" s="159"/>
      <c r="K7" s="160"/>
      <c r="L7" s="159"/>
      <c r="M7" s="160"/>
      <c r="N7" s="159"/>
      <c r="O7" s="160"/>
      <c r="P7" s="161"/>
      <c r="Q7" s="162"/>
    </row>
    <row r="8" spans="1:18" ht="17.25">
      <c r="A8" s="31" t="s">
        <v>14</v>
      </c>
      <c r="B8" s="32">
        <v>501108</v>
      </c>
      <c r="C8" s="33">
        <f>11894.87+105273.27+5248.75+25685.54+24348.22+86689.63</f>
        <v>259140.28</v>
      </c>
      <c r="D8" s="32">
        <v>58000</v>
      </c>
      <c r="E8" s="33">
        <f>1632.88+12486.49</f>
        <v>14119.369999999999</v>
      </c>
      <c r="F8" s="32">
        <f>417000-150000</f>
        <v>267000</v>
      </c>
      <c r="G8" s="33">
        <f>51478.01+247364.34+800+6620</f>
        <v>306262.35</v>
      </c>
      <c r="H8" s="32">
        <v>200000</v>
      </c>
      <c r="I8" s="37">
        <f>550+5650+1280</f>
        <v>7480</v>
      </c>
      <c r="J8" s="32">
        <v>45000</v>
      </c>
      <c r="K8" s="33">
        <v>235.22</v>
      </c>
      <c r="L8" s="32">
        <v>0</v>
      </c>
      <c r="M8" s="33">
        <f>58420.25+1102119.95</f>
        <v>1160540.2</v>
      </c>
      <c r="N8" s="32">
        <f>1000000*2</f>
        <v>2000000</v>
      </c>
      <c r="O8" s="33">
        <f>3077609.18+360363.81</f>
        <v>3437972.99</v>
      </c>
      <c r="P8" s="34">
        <f>+O8+M8+K8+G8+E8+C8+I8</f>
        <v>5185750.41</v>
      </c>
      <c r="Q8" s="34">
        <f>+B8+D8+F8+J8+L8+N8-P8+H8</f>
        <v>-2114642.41</v>
      </c>
      <c r="R8" s="5"/>
    </row>
    <row r="9" spans="1:17" ht="17.25">
      <c r="A9" s="31" t="s">
        <v>13</v>
      </c>
      <c r="B9" s="32">
        <v>1897516</v>
      </c>
      <c r="C9" s="33">
        <f>26530.88+127719.91+65072.11+292574.72+45578.52+141061.83+5083.5+24462.49</f>
        <v>728083.96</v>
      </c>
      <c r="D9" s="32">
        <v>80000</v>
      </c>
      <c r="E9" s="33">
        <f>4055.84+1186</f>
        <v>5241.84</v>
      </c>
      <c r="F9" s="79">
        <f>397500-35000</f>
        <v>362500</v>
      </c>
      <c r="G9" s="80">
        <f>39283.08+61938.79</f>
        <v>101221.87</v>
      </c>
      <c r="H9" s="81">
        <v>0</v>
      </c>
      <c r="I9" s="82">
        <v>0</v>
      </c>
      <c r="J9" s="79">
        <v>40000</v>
      </c>
      <c r="K9" s="80">
        <v>0</v>
      </c>
      <c r="L9" s="83">
        <v>0</v>
      </c>
      <c r="M9" s="80">
        <v>0</v>
      </c>
      <c r="N9" s="83">
        <v>0</v>
      </c>
      <c r="O9" s="80">
        <v>115780.95</v>
      </c>
      <c r="P9" s="34">
        <f>+O9+M9+K9+G9+E9+C9</f>
        <v>950328.62</v>
      </c>
      <c r="Q9" s="34">
        <f>+B9+D9+F9+J9+L9+N9-P9+H9</f>
        <v>1429687.38</v>
      </c>
    </row>
    <row r="10" spans="1:18" ht="17.25">
      <c r="A10" s="31" t="s">
        <v>12</v>
      </c>
      <c r="B10" s="32">
        <v>678669</v>
      </c>
      <c r="C10" s="33">
        <f>26916.6+127707.84+15054.54+60246.07+6739.91+35081.12</f>
        <v>271746.08</v>
      </c>
      <c r="D10" s="32">
        <v>76800</v>
      </c>
      <c r="E10" s="33">
        <f>4092.79+13547.38</f>
        <v>17640.17</v>
      </c>
      <c r="F10" s="32">
        <f>204000-20000</f>
        <v>184000</v>
      </c>
      <c r="G10" s="33">
        <f>3200+6919.28+108.11</f>
        <v>10227.39</v>
      </c>
      <c r="H10" s="32">
        <v>0</v>
      </c>
      <c r="I10" s="37">
        <v>851.92</v>
      </c>
      <c r="J10" s="32">
        <v>21800</v>
      </c>
      <c r="K10" s="33">
        <f>8416.98+2983.67</f>
        <v>11400.65</v>
      </c>
      <c r="L10" s="32">
        <f>7530000-1000000</f>
        <v>6530000</v>
      </c>
      <c r="M10" s="33">
        <f>798998.99+1817833.69+41915.72+95803.66</f>
        <v>2754552.06</v>
      </c>
      <c r="N10" s="32">
        <v>0</v>
      </c>
      <c r="O10" s="33">
        <f>1756.17+114753.23</f>
        <v>116509.4</v>
      </c>
      <c r="P10" s="34">
        <f>+O10+M10+K10+G10+E10+C10+I10</f>
        <v>3182927.67</v>
      </c>
      <c r="Q10" s="34">
        <f>+B10+D10+F10+J10+L10+N10-P10+H10</f>
        <v>4308341.33</v>
      </c>
      <c r="R10" s="5"/>
    </row>
    <row r="11" spans="1:18" ht="17.25">
      <c r="A11" s="31" t="s">
        <v>80</v>
      </c>
      <c r="B11" s="32">
        <v>1554747</v>
      </c>
      <c r="C11" s="33">
        <f>45717.54+194183.7+8238.04+53611.7+29153.85+140010.65+12877.77+62103.8</f>
        <v>545897.05</v>
      </c>
      <c r="D11" s="32">
        <v>65500</v>
      </c>
      <c r="E11" s="33">
        <f>15824.83+49437.61</f>
        <v>65262.44</v>
      </c>
      <c r="F11" s="32">
        <v>1300000</v>
      </c>
      <c r="G11" s="33">
        <f>68694.82+499925.7+6538.72*2+137.92</f>
        <v>581835.88</v>
      </c>
      <c r="H11" s="32">
        <v>0</v>
      </c>
      <c r="I11" s="37">
        <v>0</v>
      </c>
      <c r="J11" s="32">
        <v>57500</v>
      </c>
      <c r="K11" s="33">
        <f>698+777.26</f>
        <v>1475.26</v>
      </c>
      <c r="L11" s="32">
        <v>454000</v>
      </c>
      <c r="M11" s="33">
        <f>639991.56+2373722.54+8581.22</f>
        <v>3022295.3200000003</v>
      </c>
      <c r="N11" s="32">
        <v>0</v>
      </c>
      <c r="O11" s="33">
        <f>3346.68+819220.09</f>
        <v>822566.77</v>
      </c>
      <c r="P11" s="34">
        <f>+O11+M11+K11+I11+G11+E11+C11</f>
        <v>5039332.720000001</v>
      </c>
      <c r="Q11" s="34">
        <f>+N11+L11+J11+H11+F11+D11+B11-P11</f>
        <v>-1607585.7200000007</v>
      </c>
      <c r="R11" s="5"/>
    </row>
    <row r="12" spans="1:17" ht="9" customHeight="1">
      <c r="A12" s="31"/>
      <c r="B12" s="35"/>
      <c r="C12" s="33"/>
      <c r="D12" s="32"/>
      <c r="E12" s="33"/>
      <c r="F12" s="32"/>
      <c r="G12" s="33"/>
      <c r="H12" s="37"/>
      <c r="I12" s="37"/>
      <c r="J12" s="32"/>
      <c r="K12" s="33"/>
      <c r="L12" s="32"/>
      <c r="M12" s="33"/>
      <c r="N12" s="32"/>
      <c r="O12" s="33"/>
      <c r="P12" s="34"/>
      <c r="Q12" s="84"/>
    </row>
    <row r="13" spans="1:17" ht="18" thickBot="1">
      <c r="A13" s="38" t="s">
        <v>11</v>
      </c>
      <c r="B13" s="39">
        <f aca="true" t="shared" si="0" ref="B13:Q13">SUM(B8:B12)</f>
        <v>4632040</v>
      </c>
      <c r="C13" s="40">
        <f t="shared" si="0"/>
        <v>1804867.37</v>
      </c>
      <c r="D13" s="39">
        <f t="shared" si="0"/>
        <v>280300</v>
      </c>
      <c r="E13" s="40">
        <f t="shared" si="0"/>
        <v>102263.82</v>
      </c>
      <c r="F13" s="39">
        <f t="shared" si="0"/>
        <v>2113500</v>
      </c>
      <c r="G13" s="40">
        <f t="shared" si="0"/>
        <v>999547.49</v>
      </c>
      <c r="H13" s="39">
        <f t="shared" si="0"/>
        <v>200000</v>
      </c>
      <c r="I13" s="41">
        <f t="shared" si="0"/>
        <v>8331.92</v>
      </c>
      <c r="J13" s="39">
        <f t="shared" si="0"/>
        <v>164300</v>
      </c>
      <c r="K13" s="40">
        <f t="shared" si="0"/>
        <v>13111.13</v>
      </c>
      <c r="L13" s="39">
        <f t="shared" si="0"/>
        <v>6984000</v>
      </c>
      <c r="M13" s="40">
        <f t="shared" si="0"/>
        <v>6937387.58</v>
      </c>
      <c r="N13" s="39">
        <f t="shared" si="0"/>
        <v>2000000</v>
      </c>
      <c r="O13" s="40">
        <f t="shared" si="0"/>
        <v>4492830.11</v>
      </c>
      <c r="P13" s="42">
        <f t="shared" si="0"/>
        <v>14358339.42</v>
      </c>
      <c r="Q13" s="42">
        <f t="shared" si="0"/>
        <v>2015800.5799999991</v>
      </c>
    </row>
    <row r="14" spans="1:17" ht="17.25" thickBot="1">
      <c r="A14" s="43" t="s">
        <v>30</v>
      </c>
      <c r="B14" s="44"/>
      <c r="C14" s="139">
        <f>+C13/B13</f>
        <v>0.38964848533259644</v>
      </c>
      <c r="D14" s="45"/>
      <c r="E14" s="139">
        <f>+E13/D13</f>
        <v>0.36483703175169463</v>
      </c>
      <c r="F14" s="45"/>
      <c r="G14" s="139">
        <f>+G13/F13</f>
        <v>0.4729347007333806</v>
      </c>
      <c r="H14" s="45"/>
      <c r="I14" s="139">
        <f>+I13/H13</f>
        <v>0.0416596</v>
      </c>
      <c r="J14" s="45"/>
      <c r="K14" s="139">
        <f>+K13/J13</f>
        <v>0.07979993913572732</v>
      </c>
      <c r="L14" s="45"/>
      <c r="M14" s="139">
        <f>+M13/L13</f>
        <v>0.9933258276059564</v>
      </c>
      <c r="N14" s="47"/>
      <c r="O14" s="141">
        <f>+O13/N13</f>
        <v>2.2464150550000004</v>
      </c>
      <c r="P14" s="58"/>
      <c r="Q14" s="5"/>
    </row>
    <row r="15" spans="12:17" ht="16.5">
      <c r="L15" s="78"/>
      <c r="P15" s="52"/>
      <c r="Q15" s="5"/>
    </row>
    <row r="16" ht="16.5">
      <c r="P16" s="5"/>
    </row>
    <row r="38" spans="1:6" ht="16.5">
      <c r="A38" s="53"/>
      <c r="B38" s="53"/>
      <c r="C38" s="53"/>
      <c r="D38" s="53"/>
      <c r="E38" s="53"/>
      <c r="F38" s="53"/>
    </row>
    <row r="40" spans="3:6" ht="17.25">
      <c r="C40" s="65"/>
      <c r="D40" s="5"/>
      <c r="E40" s="53"/>
      <c r="F40" s="53"/>
    </row>
    <row r="41" spans="3:6" ht="17.25">
      <c r="C41" s="65"/>
      <c r="D41" s="5"/>
      <c r="E41" s="53"/>
      <c r="F41" s="53"/>
    </row>
    <row r="42" spans="3:6" ht="17.25">
      <c r="C42" s="65"/>
      <c r="D42" s="5"/>
      <c r="E42" s="53"/>
      <c r="F42" s="53"/>
    </row>
    <row r="43" spans="3:6" ht="17.25">
      <c r="C43" s="65"/>
      <c r="D43" s="5"/>
      <c r="E43" s="53"/>
      <c r="F43" s="53"/>
    </row>
    <row r="44" spans="3:6" ht="17.25">
      <c r="C44" s="65"/>
      <c r="D44" s="5"/>
      <c r="E44" s="53"/>
      <c r="F44" s="53"/>
    </row>
    <row r="45" spans="3:6" ht="17.25">
      <c r="C45" s="65"/>
      <c r="D45" s="5"/>
      <c r="E45" s="53"/>
      <c r="F45" s="53"/>
    </row>
    <row r="46" ht="17.25">
      <c r="C46" s="64"/>
    </row>
    <row r="49" spans="4:5" ht="16.5">
      <c r="D49" s="62"/>
      <c r="E49" s="62"/>
    </row>
    <row r="50" spans="1:5" ht="16.5">
      <c r="A50" s="62" t="s">
        <v>26</v>
      </c>
      <c r="B50" s="62" t="s">
        <v>27</v>
      </c>
      <c r="C50" s="62" t="s">
        <v>28</v>
      </c>
      <c r="D50" s="62"/>
      <c r="E50" s="62"/>
    </row>
    <row r="51" spans="1:3" ht="17.25">
      <c r="A51" s="64">
        <f>+B13</f>
        <v>4632040</v>
      </c>
      <c r="B51" s="65">
        <f>+C13</f>
        <v>1804867.37</v>
      </c>
      <c r="C51" s="62" t="s">
        <v>1</v>
      </c>
    </row>
    <row r="52" spans="1:3" ht="17.25">
      <c r="A52" s="64">
        <f>+D13</f>
        <v>280300</v>
      </c>
      <c r="B52" s="65">
        <f>+E13</f>
        <v>102263.82</v>
      </c>
      <c r="C52" s="62" t="s">
        <v>2</v>
      </c>
    </row>
    <row r="53" spans="1:3" ht="17.25">
      <c r="A53" s="64">
        <f>+F13</f>
        <v>2113500</v>
      </c>
      <c r="B53" s="65">
        <f>+G13</f>
        <v>999547.49</v>
      </c>
      <c r="C53" s="62" t="s">
        <v>3</v>
      </c>
    </row>
    <row r="54" spans="1:3" ht="17.25">
      <c r="A54" s="66">
        <f>+H13</f>
        <v>200000</v>
      </c>
      <c r="B54" s="65">
        <f>+I13</f>
        <v>8331.92</v>
      </c>
      <c r="C54" s="62" t="s">
        <v>34</v>
      </c>
    </row>
    <row r="55" spans="1:3" ht="17.25">
      <c r="A55" s="64">
        <f>+J13</f>
        <v>164300</v>
      </c>
      <c r="B55" s="65">
        <f>+K13</f>
        <v>13111.13</v>
      </c>
      <c r="C55" s="62" t="s">
        <v>32</v>
      </c>
    </row>
    <row r="56" spans="1:3" ht="17.25">
      <c r="A56" s="64">
        <f>+L13</f>
        <v>6984000</v>
      </c>
      <c r="B56" s="65">
        <f>+M13</f>
        <v>6937387.58</v>
      </c>
      <c r="C56" s="62" t="s">
        <v>29</v>
      </c>
    </row>
    <row r="57" spans="1:3" ht="17.25">
      <c r="A57" s="64">
        <f>+N13</f>
        <v>2000000</v>
      </c>
      <c r="B57" s="65">
        <f>+O13</f>
        <v>4492830.11</v>
      </c>
      <c r="C57" s="62" t="s">
        <v>35</v>
      </c>
    </row>
    <row r="58" spans="1:2" ht="17.25">
      <c r="A58" s="64">
        <v>2832908</v>
      </c>
      <c r="B58" s="65">
        <v>692231.2</v>
      </c>
    </row>
    <row r="59" spans="1:2" ht="17.25">
      <c r="A59" s="64"/>
      <c r="B59" s="64"/>
    </row>
    <row r="60" spans="1:2" ht="17.25">
      <c r="A60" s="64"/>
      <c r="B60" s="64"/>
    </row>
  </sheetData>
  <sheetProtection/>
  <mergeCells count="10">
    <mergeCell ref="L2:M2"/>
    <mergeCell ref="B3:D3"/>
    <mergeCell ref="L5:M5"/>
    <mergeCell ref="N5:O5"/>
    <mergeCell ref="B5:C5"/>
    <mergeCell ref="D5:E5"/>
    <mergeCell ref="F5:G5"/>
    <mergeCell ref="J5:K5"/>
    <mergeCell ref="H5:I5"/>
    <mergeCell ref="B2:F2"/>
  </mergeCells>
  <printOptions/>
  <pageMargins left="0.69" right="0.26" top="1.04" bottom="0.5" header="0.31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54"/>
  <sheetViews>
    <sheetView zoomScalePageLayoutView="0" workbookViewId="0" topLeftCell="A1">
      <selection activeCell="O16" sqref="O16"/>
    </sheetView>
  </sheetViews>
  <sheetFormatPr defaultColWidth="11.421875" defaultRowHeight="15"/>
  <cols>
    <col min="1" max="1" width="19.28125" style="1" customWidth="1"/>
    <col min="2" max="2" width="10.8515625" style="1" customWidth="1"/>
    <col min="3" max="3" width="12.28125" style="1" customWidth="1"/>
    <col min="4" max="4" width="7.8515625" style="1" customWidth="1"/>
    <col min="5" max="5" width="10.7109375" style="1" customWidth="1"/>
    <col min="6" max="6" width="9.421875" style="1" customWidth="1"/>
    <col min="7" max="7" width="12.28125" style="1" customWidth="1"/>
    <col min="8" max="8" width="7.140625" style="1" customWidth="1"/>
    <col min="9" max="9" width="9.7109375" style="1" customWidth="1"/>
    <col min="10" max="10" width="7.57421875" style="1" customWidth="1"/>
    <col min="11" max="11" width="10.00390625" style="1" customWidth="1"/>
    <col min="12" max="12" width="6.28125" style="1" customWidth="1"/>
    <col min="13" max="13" width="9.7109375" style="1" customWidth="1"/>
    <col min="14" max="14" width="9.421875" style="1" customWidth="1"/>
    <col min="15" max="16" width="12.28125" style="1" customWidth="1"/>
    <col min="17" max="17" width="13.140625" style="1" customWidth="1"/>
    <col min="18" max="18" width="13.8515625" style="1" bestFit="1" customWidth="1"/>
    <col min="19" max="16384" width="11.421875" style="1" customWidth="1"/>
  </cols>
  <sheetData>
    <row r="2" spans="1:15" ht="18">
      <c r="A2" s="146" t="s">
        <v>0</v>
      </c>
      <c r="B2" s="165" t="s">
        <v>108</v>
      </c>
      <c r="C2" s="184"/>
      <c r="D2" s="184"/>
      <c r="E2" s="184"/>
      <c r="F2" s="177"/>
      <c r="G2" s="177"/>
      <c r="H2" s="177"/>
      <c r="I2" s="178"/>
      <c r="J2" s="21"/>
      <c r="K2" s="174" t="s">
        <v>23</v>
      </c>
      <c r="L2" s="175"/>
      <c r="M2" s="150">
        <v>41030</v>
      </c>
      <c r="O2" s="56"/>
    </row>
    <row r="3" spans="2:16" ht="16.5">
      <c r="B3" s="182"/>
      <c r="C3" s="183"/>
      <c r="D3" s="183"/>
      <c r="E3" s="183"/>
      <c r="F3" s="67"/>
      <c r="P3" s="85"/>
    </row>
    <row r="5" ht="17.25" thickBot="1"/>
    <row r="6" spans="1:17" ht="17.25">
      <c r="A6" s="25"/>
      <c r="B6" s="172" t="s">
        <v>1</v>
      </c>
      <c r="C6" s="173"/>
      <c r="D6" s="172" t="s">
        <v>2</v>
      </c>
      <c r="E6" s="173"/>
      <c r="F6" s="172" t="s">
        <v>3</v>
      </c>
      <c r="G6" s="173"/>
      <c r="H6" s="172" t="s">
        <v>4</v>
      </c>
      <c r="I6" s="173"/>
      <c r="J6" s="172" t="s">
        <v>32</v>
      </c>
      <c r="K6" s="173"/>
      <c r="L6" s="172" t="s">
        <v>102</v>
      </c>
      <c r="M6" s="173"/>
      <c r="N6" s="172" t="s">
        <v>33</v>
      </c>
      <c r="O6" s="173"/>
      <c r="P6" s="26" t="s">
        <v>5</v>
      </c>
      <c r="Q6" s="26" t="s">
        <v>38</v>
      </c>
    </row>
    <row r="7" spans="1:17" ht="17.25">
      <c r="A7" s="27"/>
      <c r="B7" s="28" t="s">
        <v>31</v>
      </c>
      <c r="C7" s="28" t="s">
        <v>37</v>
      </c>
      <c r="D7" s="28" t="s">
        <v>31</v>
      </c>
      <c r="E7" s="28" t="s">
        <v>37</v>
      </c>
      <c r="F7" s="28" t="s">
        <v>31</v>
      </c>
      <c r="G7" s="28" t="s">
        <v>37</v>
      </c>
      <c r="H7" s="28" t="s">
        <v>31</v>
      </c>
      <c r="I7" s="28" t="s">
        <v>37</v>
      </c>
      <c r="J7" s="28" t="s">
        <v>31</v>
      </c>
      <c r="K7" s="28" t="s">
        <v>37</v>
      </c>
      <c r="L7" s="28" t="s">
        <v>31</v>
      </c>
      <c r="M7" s="28" t="s">
        <v>37</v>
      </c>
      <c r="N7" s="28" t="s">
        <v>31</v>
      </c>
      <c r="O7" s="28" t="s">
        <v>37</v>
      </c>
      <c r="P7" s="29" t="s">
        <v>25</v>
      </c>
      <c r="Q7" s="30" t="s">
        <v>39</v>
      </c>
    </row>
    <row r="8" spans="1:18" ht="17.25">
      <c r="A8" s="86" t="s">
        <v>14</v>
      </c>
      <c r="B8" s="32">
        <v>694580</v>
      </c>
      <c r="C8" s="33">
        <f>31261.86+188263.59+6619.08+27666.29+15499.72+70055.17</f>
        <v>339365.70999999996</v>
      </c>
      <c r="D8" s="32">
        <v>70000</v>
      </c>
      <c r="E8" s="33">
        <f>4467.02+15132.31</f>
        <v>19599.33</v>
      </c>
      <c r="F8" s="32">
        <f>1243000-25000</f>
        <v>1218000</v>
      </c>
      <c r="G8" s="33">
        <f>119998.7+308522.07</f>
        <v>428520.77</v>
      </c>
      <c r="H8" s="32">
        <v>20000</v>
      </c>
      <c r="I8" s="33">
        <v>0</v>
      </c>
      <c r="J8" s="32">
        <v>150000</v>
      </c>
      <c r="K8" s="33">
        <v>115</v>
      </c>
      <c r="L8" s="32">
        <v>0</v>
      </c>
      <c r="M8" s="37">
        <v>0</v>
      </c>
      <c r="N8" s="32">
        <f>500000+800000</f>
        <v>1300000</v>
      </c>
      <c r="O8" s="33">
        <f>44651.47+368141.52</f>
        <v>412792.99</v>
      </c>
      <c r="P8" s="34">
        <f>+O8+K8+G8+E8+C8+I8+M8</f>
        <v>1200393.7999999998</v>
      </c>
      <c r="Q8" s="34">
        <f>+B8+D8+F8+H8+J8+N8-P8</f>
        <v>2252186.2</v>
      </c>
      <c r="R8" s="5"/>
    </row>
    <row r="9" spans="1:18" ht="17.25">
      <c r="A9" s="86" t="s">
        <v>89</v>
      </c>
      <c r="B9" s="32">
        <v>3806949</v>
      </c>
      <c r="C9" s="33">
        <f>51242.36+135482.66+108393.21+438516.93+62378.26+302802.5+72211.66+345004.68</f>
        <v>1516032.2599999998</v>
      </c>
      <c r="D9" s="32">
        <v>149000</v>
      </c>
      <c r="E9" s="33">
        <f>3093.91+29554.08+95</f>
        <v>32742.99</v>
      </c>
      <c r="F9" s="32">
        <f>228000-50000</f>
        <v>178000</v>
      </c>
      <c r="G9" s="33">
        <f>4435.72+26809.75+943.4-415.72+2513.62</f>
        <v>34286.770000000004</v>
      </c>
      <c r="H9" s="32">
        <v>0</v>
      </c>
      <c r="I9" s="33">
        <v>1023.2</v>
      </c>
      <c r="J9" s="32">
        <v>280000</v>
      </c>
      <c r="K9" s="33">
        <v>1528.38</v>
      </c>
      <c r="L9" s="32">
        <v>0</v>
      </c>
      <c r="M9" s="37">
        <v>0</v>
      </c>
      <c r="N9" s="32">
        <v>0</v>
      </c>
      <c r="O9" s="33">
        <v>216208</v>
      </c>
      <c r="P9" s="34">
        <f>+O9+K9+G9+E9+C9+M9+I9</f>
        <v>1801821.5999999999</v>
      </c>
      <c r="Q9" s="34">
        <f>+B9+D9+F9+H9+J9+N9-P9</f>
        <v>2612127.4000000004</v>
      </c>
      <c r="R9" s="5"/>
    </row>
    <row r="10" spans="1:18" ht="17.25">
      <c r="A10" s="86" t="s">
        <v>88</v>
      </c>
      <c r="B10" s="32">
        <v>4495029</v>
      </c>
      <c r="C10" s="33">
        <f>57095.76+317410.09+13696.97+74769.45+290777.14+928616.63</f>
        <v>1682366.04</v>
      </c>
      <c r="D10" s="32">
        <v>118000</v>
      </c>
      <c r="E10" s="33">
        <f>4706+42868.6+842.05</f>
        <v>48416.65</v>
      </c>
      <c r="F10" s="32">
        <f>3582000-50000</f>
        <v>3532000</v>
      </c>
      <c r="G10" s="33">
        <f>1223231.52+1019555.55+5300.02+3612.35</f>
        <v>2251699.4400000004</v>
      </c>
      <c r="H10" s="32">
        <v>0</v>
      </c>
      <c r="I10" s="33">
        <v>536.24</v>
      </c>
      <c r="J10" s="32">
        <v>80000</v>
      </c>
      <c r="K10" s="33">
        <f>1720+6961.6+158</f>
        <v>8839.6</v>
      </c>
      <c r="L10" s="32">
        <v>0</v>
      </c>
      <c r="M10" s="37">
        <v>0</v>
      </c>
      <c r="N10" s="32">
        <v>0</v>
      </c>
      <c r="O10" s="33">
        <v>221060.7</v>
      </c>
      <c r="P10" s="34">
        <f>+O10+K10+G10+E10+C10+M10+I10</f>
        <v>4212918.67</v>
      </c>
      <c r="Q10" s="34">
        <f>+B10+D10+F10+H10+J10+N10-P10</f>
        <v>4012110.33</v>
      </c>
      <c r="R10" s="5"/>
    </row>
    <row r="11" spans="1:18" ht="17.25">
      <c r="A11" s="86" t="s">
        <v>90</v>
      </c>
      <c r="B11" s="32">
        <v>3930629</v>
      </c>
      <c r="C11" s="33">
        <f>19172.25+82899.1+320891.23+1084255.71+14102.45+54281.16</f>
        <v>1575601.9</v>
      </c>
      <c r="D11" s="32">
        <v>292000</v>
      </c>
      <c r="E11" s="33">
        <f>18363.83+51799.08+3913</f>
        <v>74075.91</v>
      </c>
      <c r="F11" s="32">
        <f>330000-55000</f>
        <v>275000</v>
      </c>
      <c r="G11" s="33">
        <f>40440+112029.78+198.04+32.96</f>
        <v>152700.78</v>
      </c>
      <c r="H11" s="32">
        <v>0</v>
      </c>
      <c r="I11" s="33">
        <v>0</v>
      </c>
      <c r="J11" s="32">
        <v>200000</v>
      </c>
      <c r="K11" s="33">
        <v>4522.89</v>
      </c>
      <c r="L11" s="32">
        <v>0</v>
      </c>
      <c r="M11" s="37">
        <v>0</v>
      </c>
      <c r="N11" s="32">
        <v>0</v>
      </c>
      <c r="O11" s="33">
        <v>208145.49</v>
      </c>
      <c r="P11" s="34">
        <f>+O11+K11+G11+E11+C11</f>
        <v>2015046.97</v>
      </c>
      <c r="Q11" s="34">
        <f>+B11+D11+F11+H11+J11+N11+L11-P11</f>
        <v>2682582.0300000003</v>
      </c>
      <c r="R11" s="5"/>
    </row>
    <row r="12" spans="1:17" ht="9" customHeight="1">
      <c r="A12" s="86"/>
      <c r="B12" s="35"/>
      <c r="C12" s="33"/>
      <c r="D12" s="35"/>
      <c r="E12" s="33"/>
      <c r="F12" s="35"/>
      <c r="G12" s="33"/>
      <c r="H12" s="35"/>
      <c r="I12" s="33"/>
      <c r="J12" s="35"/>
      <c r="K12" s="33"/>
      <c r="L12" s="37"/>
      <c r="M12" s="37"/>
      <c r="N12" s="35"/>
      <c r="O12" s="33"/>
      <c r="P12" s="34"/>
      <c r="Q12" s="34"/>
    </row>
    <row r="13" spans="1:17" ht="18" thickBot="1">
      <c r="A13" s="38" t="s">
        <v>11</v>
      </c>
      <c r="B13" s="39">
        <f aca="true" t="shared" si="0" ref="B13:Q13">SUM(B8:B12)</f>
        <v>12927187</v>
      </c>
      <c r="C13" s="40">
        <f t="shared" si="0"/>
        <v>5113365.91</v>
      </c>
      <c r="D13" s="39">
        <f t="shared" si="0"/>
        <v>629000</v>
      </c>
      <c r="E13" s="40">
        <f t="shared" si="0"/>
        <v>174834.88</v>
      </c>
      <c r="F13" s="39">
        <f t="shared" si="0"/>
        <v>5203000</v>
      </c>
      <c r="G13" s="40">
        <f t="shared" si="0"/>
        <v>2867207.7600000002</v>
      </c>
      <c r="H13" s="39">
        <f t="shared" si="0"/>
        <v>20000</v>
      </c>
      <c r="I13" s="40">
        <f t="shared" si="0"/>
        <v>1559.44</v>
      </c>
      <c r="J13" s="39">
        <f t="shared" si="0"/>
        <v>710000</v>
      </c>
      <c r="K13" s="40">
        <f t="shared" si="0"/>
        <v>15005.869999999999</v>
      </c>
      <c r="L13" s="39">
        <f>SUM(L8:L12)</f>
        <v>0</v>
      </c>
      <c r="M13" s="40">
        <f>SUM(M8:M12)</f>
        <v>0</v>
      </c>
      <c r="N13" s="39">
        <f t="shared" si="0"/>
        <v>1300000</v>
      </c>
      <c r="O13" s="40">
        <f t="shared" si="0"/>
        <v>1058207.18</v>
      </c>
      <c r="P13" s="87">
        <f t="shared" si="0"/>
        <v>9230181.04</v>
      </c>
      <c r="Q13" s="152">
        <f t="shared" si="0"/>
        <v>11559005.96</v>
      </c>
    </row>
    <row r="14" spans="1:17" ht="17.25" thickBot="1">
      <c r="A14" s="38" t="s">
        <v>30</v>
      </c>
      <c r="B14" s="88"/>
      <c r="C14" s="93">
        <f>+C13/B13</f>
        <v>0.39555132218633493</v>
      </c>
      <c r="D14" s="89"/>
      <c r="E14" s="93">
        <f>+E13/D13</f>
        <v>0.2779568839427663</v>
      </c>
      <c r="F14" s="89"/>
      <c r="G14" s="93">
        <f>+G13/F13</f>
        <v>0.55106818374015</v>
      </c>
      <c r="H14" s="89"/>
      <c r="I14" s="93">
        <f>+I13/H13</f>
        <v>0.077972</v>
      </c>
      <c r="J14" s="89"/>
      <c r="K14" s="93">
        <f>+K13/J13</f>
        <v>0.021135028169014084</v>
      </c>
      <c r="L14" s="90"/>
      <c r="M14" s="47"/>
      <c r="N14" s="45"/>
      <c r="O14" s="141">
        <f>+O13/N13</f>
        <v>0.814005523076923</v>
      </c>
      <c r="P14" s="58"/>
      <c r="Q14" s="5"/>
    </row>
    <row r="15" spans="1:17" ht="16.5">
      <c r="A15" s="49"/>
      <c r="B15" s="4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140"/>
      <c r="Q15" s="78"/>
    </row>
    <row r="16" ht="16.5">
      <c r="P16" s="5"/>
    </row>
    <row r="18" ht="16.5">
      <c r="Q18" s="5"/>
    </row>
    <row r="41" spans="1:6" ht="16.5">
      <c r="A41" s="53"/>
      <c r="B41" s="53"/>
      <c r="C41" s="53"/>
      <c r="D41" s="53"/>
      <c r="E41" s="53"/>
      <c r="F41" s="53"/>
    </row>
    <row r="43" spans="3:6" ht="16.5">
      <c r="C43" s="52"/>
      <c r="D43" s="5"/>
      <c r="E43" s="53"/>
      <c r="F43" s="53"/>
    </row>
    <row r="44" spans="4:6" ht="16.5">
      <c r="D44" s="5"/>
      <c r="F44" s="53"/>
    </row>
    <row r="45" spans="1:6" ht="16.5">
      <c r="A45" s="62" t="s">
        <v>26</v>
      </c>
      <c r="B45" s="71" t="s">
        <v>27</v>
      </c>
      <c r="C45" s="91" t="s">
        <v>28</v>
      </c>
      <c r="D45" s="5"/>
      <c r="F45" s="53"/>
    </row>
    <row r="46" spans="1:6" ht="17.25">
      <c r="A46" s="64">
        <f>+B13</f>
        <v>12927187</v>
      </c>
      <c r="B46" s="65">
        <f>+C13</f>
        <v>5113365.91</v>
      </c>
      <c r="C46" s="91" t="s">
        <v>1</v>
      </c>
      <c r="D46" s="5"/>
      <c r="F46" s="53"/>
    </row>
    <row r="47" spans="1:6" ht="17.25">
      <c r="A47" s="64">
        <f>+D13</f>
        <v>629000</v>
      </c>
      <c r="B47" s="65">
        <f>+E13</f>
        <v>174834.88</v>
      </c>
      <c r="C47" s="91" t="s">
        <v>2</v>
      </c>
      <c r="D47" s="5"/>
      <c r="F47" s="53"/>
    </row>
    <row r="48" spans="1:6" ht="17.25">
      <c r="A48" s="64">
        <f>+F13</f>
        <v>5203000</v>
      </c>
      <c r="B48" s="65">
        <f>+G13</f>
        <v>2867207.7600000002</v>
      </c>
      <c r="C48" s="91" t="s">
        <v>3</v>
      </c>
      <c r="D48" s="5"/>
      <c r="F48" s="53"/>
    </row>
    <row r="49" spans="1:6" ht="17.25">
      <c r="A49" s="66">
        <f>+H13</f>
        <v>20000</v>
      </c>
      <c r="B49" s="65">
        <f>+I13</f>
        <v>1559.44</v>
      </c>
      <c r="C49" s="92" t="s">
        <v>34</v>
      </c>
      <c r="D49" s="5"/>
      <c r="F49" s="53"/>
    </row>
    <row r="50" spans="1:3" ht="17.25">
      <c r="A50" s="64">
        <f>+J13</f>
        <v>710000</v>
      </c>
      <c r="B50" s="65">
        <f>+K13</f>
        <v>15005.869999999999</v>
      </c>
      <c r="C50" s="62" t="s">
        <v>32</v>
      </c>
    </row>
    <row r="51" spans="1:3" ht="17.25" hidden="1">
      <c r="A51" s="66">
        <f>+L13</f>
        <v>0</v>
      </c>
      <c r="B51" s="65">
        <f>+M13</f>
        <v>0</v>
      </c>
      <c r="C51" s="62" t="s">
        <v>100</v>
      </c>
    </row>
    <row r="52" spans="1:3" ht="17.25">
      <c r="A52" s="64">
        <f>+N13</f>
        <v>1300000</v>
      </c>
      <c r="B52" s="65">
        <f>+O13</f>
        <v>1058207.18</v>
      </c>
      <c r="C52" s="62" t="s">
        <v>35</v>
      </c>
    </row>
    <row r="53" spans="2:3" ht="16.5">
      <c r="B53" s="48"/>
      <c r="C53" s="62"/>
    </row>
    <row r="54" spans="1:2" ht="16.5">
      <c r="A54" s="1">
        <v>2161994.87</v>
      </c>
      <c r="B54" s="52">
        <v>623381.8</v>
      </c>
    </row>
  </sheetData>
  <sheetProtection/>
  <mergeCells count="10">
    <mergeCell ref="B2:I2"/>
    <mergeCell ref="K2:L2"/>
    <mergeCell ref="B3:E3"/>
    <mergeCell ref="N6:O6"/>
    <mergeCell ref="J6:K6"/>
    <mergeCell ref="B6:C6"/>
    <mergeCell ref="D6:E6"/>
    <mergeCell ref="F6:G6"/>
    <mergeCell ref="H6:I6"/>
    <mergeCell ref="L6:M6"/>
  </mergeCells>
  <printOptions/>
  <pageMargins left="0.58" right="0.25" top="0.99" bottom="1" header="0.39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55"/>
  <sheetViews>
    <sheetView zoomScalePageLayoutView="0" workbookViewId="0" topLeftCell="A1">
      <selection activeCell="P14" sqref="P14"/>
    </sheetView>
  </sheetViews>
  <sheetFormatPr defaultColWidth="11.421875" defaultRowHeight="15"/>
  <cols>
    <col min="1" max="1" width="23.00390625" style="1" customWidth="1"/>
    <col min="2" max="2" width="9.28125" style="1" customWidth="1"/>
    <col min="3" max="3" width="10.57421875" style="1" customWidth="1"/>
    <col min="4" max="4" width="7.7109375" style="1" customWidth="1"/>
    <col min="5" max="5" width="9.28125" style="1" customWidth="1"/>
    <col min="6" max="6" width="7.28125" style="1" customWidth="1"/>
    <col min="7" max="7" width="9.57421875" style="1" customWidth="1"/>
    <col min="8" max="8" width="7.57421875" style="1" customWidth="1"/>
    <col min="9" max="9" width="10.421875" style="1" customWidth="1"/>
    <col min="10" max="10" width="7.28125" style="1" customWidth="1"/>
    <col min="11" max="11" width="9.7109375" style="1" customWidth="1"/>
    <col min="12" max="12" width="7.140625" style="1" hidden="1" customWidth="1"/>
    <col min="13" max="13" width="9.57421875" style="1" hidden="1" customWidth="1"/>
    <col min="14" max="14" width="7.57421875" style="1" customWidth="1"/>
    <col min="15" max="15" width="10.421875" style="1" customWidth="1"/>
    <col min="16" max="16" width="10.8515625" style="1" customWidth="1"/>
    <col min="17" max="17" width="10.421875" style="1" customWidth="1"/>
    <col min="18" max="16384" width="11.421875" style="1" customWidth="1"/>
  </cols>
  <sheetData>
    <row r="2" spans="1:15" ht="18">
      <c r="A2" s="146" t="s">
        <v>0</v>
      </c>
      <c r="B2" s="165" t="s">
        <v>109</v>
      </c>
      <c r="C2" s="165"/>
      <c r="D2" s="170"/>
      <c r="E2" s="170"/>
      <c r="I2" s="174" t="s">
        <v>23</v>
      </c>
      <c r="J2" s="174"/>
      <c r="K2" s="150">
        <v>41030</v>
      </c>
      <c r="L2" s="125"/>
      <c r="M2" s="125"/>
      <c r="O2" s="23"/>
    </row>
    <row r="3" spans="2:3" ht="16.5">
      <c r="B3" s="182"/>
      <c r="C3" s="182"/>
    </row>
    <row r="5" ht="17.25" thickBot="1"/>
    <row r="6" spans="1:17" ht="17.25">
      <c r="A6" s="25"/>
      <c r="B6" s="172" t="s">
        <v>1</v>
      </c>
      <c r="C6" s="173"/>
      <c r="D6" s="172" t="s">
        <v>2</v>
      </c>
      <c r="E6" s="173"/>
      <c r="F6" s="172" t="s">
        <v>3</v>
      </c>
      <c r="G6" s="173"/>
      <c r="H6" s="172" t="s">
        <v>4</v>
      </c>
      <c r="I6" s="173"/>
      <c r="J6" s="172" t="s">
        <v>32</v>
      </c>
      <c r="K6" s="173"/>
      <c r="L6" s="127" t="s">
        <v>36</v>
      </c>
      <c r="M6" s="75"/>
      <c r="N6" s="172" t="s">
        <v>33</v>
      </c>
      <c r="O6" s="173"/>
      <c r="P6" s="26" t="s">
        <v>5</v>
      </c>
      <c r="Q6" s="26" t="s">
        <v>38</v>
      </c>
    </row>
    <row r="7" spans="1:17" ht="17.25">
      <c r="A7" s="27"/>
      <c r="B7" s="28" t="s">
        <v>31</v>
      </c>
      <c r="C7" s="28" t="s">
        <v>37</v>
      </c>
      <c r="D7" s="28" t="s">
        <v>31</v>
      </c>
      <c r="E7" s="28" t="s">
        <v>37</v>
      </c>
      <c r="F7" s="28" t="s">
        <v>31</v>
      </c>
      <c r="G7" s="28" t="s">
        <v>37</v>
      </c>
      <c r="H7" s="28" t="s">
        <v>31</v>
      </c>
      <c r="I7" s="28" t="s">
        <v>37</v>
      </c>
      <c r="J7" s="28" t="s">
        <v>31</v>
      </c>
      <c r="K7" s="28" t="s">
        <v>37</v>
      </c>
      <c r="L7" s="28" t="s">
        <v>31</v>
      </c>
      <c r="M7" s="28" t="s">
        <v>37</v>
      </c>
      <c r="N7" s="28" t="s">
        <v>31</v>
      </c>
      <c r="O7" s="28" t="s">
        <v>37</v>
      </c>
      <c r="P7" s="29" t="s">
        <v>25</v>
      </c>
      <c r="Q7" s="30" t="s">
        <v>39</v>
      </c>
    </row>
    <row r="8" spans="1:17" ht="17.25">
      <c r="A8" s="97"/>
      <c r="B8" s="159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3"/>
      <c r="Q8" s="162"/>
    </row>
    <row r="9" spans="1:18" ht="17.25">
      <c r="A9" s="31" t="s">
        <v>96</v>
      </c>
      <c r="B9" s="32">
        <v>1067260</v>
      </c>
      <c r="C9" s="33">
        <f>59348.83+296846.16</f>
        <v>356194.99</v>
      </c>
      <c r="D9" s="68">
        <v>12700</v>
      </c>
      <c r="E9" s="33">
        <f>1993.11+20667.12</f>
        <v>22660.23</v>
      </c>
      <c r="F9" s="68">
        <v>64160</v>
      </c>
      <c r="G9" s="33">
        <f>4061.25+9307.94</f>
        <v>13369.19</v>
      </c>
      <c r="H9" s="68">
        <v>160000</v>
      </c>
      <c r="I9" s="33">
        <f>25955.3+99108.45</f>
        <v>125063.75</v>
      </c>
      <c r="J9" s="68">
        <v>6000</v>
      </c>
      <c r="K9" s="33">
        <v>1390</v>
      </c>
      <c r="L9" s="68">
        <v>0</v>
      </c>
      <c r="M9" s="33">
        <v>0</v>
      </c>
      <c r="N9" s="68">
        <f>30000+200000</f>
        <v>230000</v>
      </c>
      <c r="O9" s="33">
        <f>310.1+120914.54</f>
        <v>121224.64</v>
      </c>
      <c r="P9" s="34">
        <f>+C9+G9+I9+K9+O9+E9</f>
        <v>639902.7999999999</v>
      </c>
      <c r="Q9" s="34">
        <f>+B9+D9+F9+H9+J9+N9-P9+L9</f>
        <v>900217.2000000001</v>
      </c>
      <c r="R9" s="158"/>
    </row>
    <row r="10" spans="1:17" ht="17.25">
      <c r="A10" s="31" t="s">
        <v>129</v>
      </c>
      <c r="B10" s="32">
        <v>158352</v>
      </c>
      <c r="C10" s="33">
        <f>32903.29+172493.91</f>
        <v>205397.2</v>
      </c>
      <c r="D10" s="68">
        <v>0</v>
      </c>
      <c r="E10" s="33">
        <v>0</v>
      </c>
      <c r="F10" s="68">
        <v>0</v>
      </c>
      <c r="G10" s="33">
        <v>239.03</v>
      </c>
      <c r="H10" s="68">
        <v>0</v>
      </c>
      <c r="I10" s="33">
        <v>5000</v>
      </c>
      <c r="J10" s="68">
        <v>0</v>
      </c>
      <c r="K10" s="33">
        <v>0</v>
      </c>
      <c r="L10" s="68">
        <v>0</v>
      </c>
      <c r="M10" s="33">
        <v>0</v>
      </c>
      <c r="N10" s="68">
        <v>0</v>
      </c>
      <c r="O10" s="33">
        <v>0</v>
      </c>
      <c r="P10" s="34">
        <f>+C10+G10+I10+K10+O10+E10</f>
        <v>210636.23</v>
      </c>
      <c r="Q10" s="34">
        <f>+B10+D10+F10+H10+J10+N10-P10</f>
        <v>-52284.23000000001</v>
      </c>
    </row>
    <row r="11" spans="1:17" ht="10.5" customHeight="1">
      <c r="A11" s="31"/>
      <c r="B11" s="32"/>
      <c r="C11" s="33"/>
      <c r="D11" s="32"/>
      <c r="E11" s="33"/>
      <c r="F11" s="32"/>
      <c r="G11" s="33"/>
      <c r="H11" s="32"/>
      <c r="I11" s="33"/>
      <c r="J11" s="32"/>
      <c r="K11" s="33"/>
      <c r="L11" s="32"/>
      <c r="M11" s="33"/>
      <c r="N11" s="32"/>
      <c r="O11" s="33"/>
      <c r="P11" s="34"/>
      <c r="Q11" s="34"/>
    </row>
    <row r="12" spans="1:17" ht="18" thickBot="1">
      <c r="A12" s="38" t="s">
        <v>11</v>
      </c>
      <c r="B12" s="39">
        <f>SUM(B9:B10)</f>
        <v>1225612</v>
      </c>
      <c r="C12" s="40">
        <f>SUM(C9:C10)</f>
        <v>561592.19</v>
      </c>
      <c r="D12" s="39">
        <f>SUM(D9:D10)</f>
        <v>12700</v>
      </c>
      <c r="E12" s="40">
        <f>SUM(E9:E10)</f>
        <v>22660.23</v>
      </c>
      <c r="F12" s="39">
        <f>SUM(F9:F11)</f>
        <v>64160</v>
      </c>
      <c r="G12" s="40">
        <f aca="true" t="shared" si="0" ref="G12:Q12">SUM(G9:G10)</f>
        <v>13608.220000000001</v>
      </c>
      <c r="H12" s="39">
        <f t="shared" si="0"/>
        <v>160000</v>
      </c>
      <c r="I12" s="40">
        <f t="shared" si="0"/>
        <v>130063.75</v>
      </c>
      <c r="J12" s="39">
        <f t="shared" si="0"/>
        <v>6000</v>
      </c>
      <c r="K12" s="40">
        <f t="shared" si="0"/>
        <v>1390</v>
      </c>
      <c r="L12" s="39">
        <f t="shared" si="0"/>
        <v>0</v>
      </c>
      <c r="M12" s="40">
        <f t="shared" si="0"/>
        <v>0</v>
      </c>
      <c r="N12" s="39">
        <f t="shared" si="0"/>
        <v>230000</v>
      </c>
      <c r="O12" s="40">
        <f t="shared" si="0"/>
        <v>121224.64</v>
      </c>
      <c r="P12" s="42">
        <f t="shared" si="0"/>
        <v>850539.0299999999</v>
      </c>
      <c r="Q12" s="42">
        <f t="shared" si="0"/>
        <v>847932.9700000001</v>
      </c>
    </row>
    <row r="13" spans="1:17" ht="17.25" thickBot="1">
      <c r="A13" s="43" t="s">
        <v>30</v>
      </c>
      <c r="B13" s="88"/>
      <c r="C13" s="93">
        <f>+C12/B12</f>
        <v>0.4582136842654934</v>
      </c>
      <c r="D13" s="93"/>
      <c r="E13" s="93">
        <f>+E12/D12</f>
        <v>1.7842700787401575</v>
      </c>
      <c r="F13" s="93"/>
      <c r="G13" s="93">
        <f>+G12/F12</f>
        <v>0.21209819201995014</v>
      </c>
      <c r="H13" s="93"/>
      <c r="I13" s="93">
        <f>+I12/H12</f>
        <v>0.8128984375</v>
      </c>
      <c r="J13" s="89"/>
      <c r="K13" s="93">
        <f>+K12/J12</f>
        <v>0.23166666666666666</v>
      </c>
      <c r="L13" s="90"/>
      <c r="M13" s="147"/>
      <c r="N13" s="45"/>
      <c r="O13" s="141">
        <f>+O12/N12</f>
        <v>0.527063652173913</v>
      </c>
      <c r="P13" s="58"/>
      <c r="Q13" s="94"/>
    </row>
    <row r="14" spans="1:18" ht="16.5">
      <c r="A14" s="49"/>
      <c r="B14" s="49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140"/>
      <c r="Q14" s="5"/>
      <c r="R14" s="5"/>
    </row>
    <row r="41" spans="1:8" ht="16.5">
      <c r="A41" s="53"/>
      <c r="B41" s="53"/>
      <c r="C41" s="53"/>
      <c r="D41" s="53"/>
      <c r="G41" s="53"/>
      <c r="H41" s="53"/>
    </row>
    <row r="43" spans="3:8" ht="16.5">
      <c r="C43" s="52"/>
      <c r="D43" s="5"/>
      <c r="G43" s="53"/>
      <c r="H43" s="53"/>
    </row>
    <row r="44" spans="4:8" ht="16.5">
      <c r="D44" s="5"/>
      <c r="H44" s="53"/>
    </row>
    <row r="45" spans="1:8" ht="16.5">
      <c r="A45" s="62" t="s">
        <v>26</v>
      </c>
      <c r="B45" s="71" t="s">
        <v>27</v>
      </c>
      <c r="C45" s="91" t="s">
        <v>28</v>
      </c>
      <c r="D45" s="5"/>
      <c r="H45" s="53"/>
    </row>
    <row r="46" spans="1:8" ht="17.25">
      <c r="A46" s="64">
        <f>+B12</f>
        <v>1225612</v>
      </c>
      <c r="B46" s="65">
        <f>+C12</f>
        <v>561592.19</v>
      </c>
      <c r="C46" s="91" t="s">
        <v>1</v>
      </c>
      <c r="D46" s="5"/>
      <c r="H46" s="53"/>
    </row>
    <row r="47" spans="1:8" ht="17.25">
      <c r="A47" s="64">
        <f>+D12</f>
        <v>12700</v>
      </c>
      <c r="B47" s="65">
        <f>+E12</f>
        <v>22660.23</v>
      </c>
      <c r="C47" s="91" t="s">
        <v>2</v>
      </c>
      <c r="D47" s="5"/>
      <c r="H47" s="53"/>
    </row>
    <row r="48" spans="1:8" ht="17.25">
      <c r="A48" s="64">
        <f>+F12</f>
        <v>64160</v>
      </c>
      <c r="B48" s="65">
        <f>+G12</f>
        <v>13608.220000000001</v>
      </c>
      <c r="C48" s="91" t="s">
        <v>3</v>
      </c>
      <c r="D48" s="5"/>
      <c r="H48" s="53"/>
    </row>
    <row r="49" spans="1:3" ht="17.25">
      <c r="A49" s="64">
        <f>+H12</f>
        <v>160000</v>
      </c>
      <c r="B49" s="65">
        <f>+I12</f>
        <v>130063.75</v>
      </c>
      <c r="C49" s="62" t="s">
        <v>34</v>
      </c>
    </row>
    <row r="50" spans="1:3" ht="17.25">
      <c r="A50" s="64">
        <f>+J12</f>
        <v>6000</v>
      </c>
      <c r="B50" s="65">
        <f>+K12</f>
        <v>1390</v>
      </c>
      <c r="C50" s="62" t="s">
        <v>32</v>
      </c>
    </row>
    <row r="51" spans="1:3" ht="17.25" hidden="1">
      <c r="A51" s="66">
        <f>+L12</f>
        <v>0</v>
      </c>
      <c r="B51" s="65">
        <f>+M12</f>
        <v>0</v>
      </c>
      <c r="C51" s="62" t="s">
        <v>95</v>
      </c>
    </row>
    <row r="52" spans="1:3" ht="17.25">
      <c r="A52" s="64">
        <f>+N12</f>
        <v>230000</v>
      </c>
      <c r="B52" s="65">
        <f>+O12</f>
        <v>121224.64</v>
      </c>
      <c r="C52" s="62" t="s">
        <v>35</v>
      </c>
    </row>
    <row r="53" spans="1:3" ht="17.25">
      <c r="A53" s="64">
        <v>565834</v>
      </c>
      <c r="B53" s="65">
        <v>158443.27</v>
      </c>
      <c r="C53" s="95"/>
    </row>
    <row r="54" ht="16.5">
      <c r="C54" s="95"/>
    </row>
    <row r="55" ht="16.5">
      <c r="C55" s="95"/>
    </row>
  </sheetData>
  <sheetProtection/>
  <mergeCells count="9">
    <mergeCell ref="N6:O6"/>
    <mergeCell ref="B6:C6"/>
    <mergeCell ref="D6:E6"/>
    <mergeCell ref="F6:G6"/>
    <mergeCell ref="H6:I6"/>
    <mergeCell ref="B2:E2"/>
    <mergeCell ref="I2:J2"/>
    <mergeCell ref="B3:C3"/>
    <mergeCell ref="J6:K6"/>
  </mergeCells>
  <printOptions/>
  <pageMargins left="1.24" right="0.63" top="0.83" bottom="0.5" header="0.38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56"/>
  <sheetViews>
    <sheetView zoomScalePageLayoutView="0" workbookViewId="0" topLeftCell="A1">
      <selection activeCell="M14" sqref="M14"/>
    </sheetView>
  </sheetViews>
  <sheetFormatPr defaultColWidth="11.421875" defaultRowHeight="15"/>
  <cols>
    <col min="1" max="1" width="8.28125" style="1" customWidth="1"/>
    <col min="2" max="2" width="8.7109375" style="1" customWidth="1"/>
    <col min="3" max="3" width="10.8515625" style="1" customWidth="1"/>
    <col min="4" max="4" width="7.8515625" style="1" customWidth="1"/>
    <col min="5" max="5" width="8.7109375" style="1" customWidth="1"/>
    <col min="6" max="6" width="7.57421875" style="1" customWidth="1"/>
    <col min="7" max="7" width="10.00390625" style="1" customWidth="1"/>
    <col min="8" max="8" width="7.28125" style="1" customWidth="1"/>
    <col min="9" max="9" width="9.140625" style="1" customWidth="1"/>
    <col min="10" max="10" width="7.421875" style="1" customWidth="1"/>
    <col min="11" max="11" width="9.57421875" style="1" customWidth="1"/>
    <col min="12" max="12" width="8.140625" style="1" customWidth="1"/>
    <col min="13" max="13" width="9.7109375" style="1" customWidth="1"/>
    <col min="14" max="14" width="10.8515625" style="1" customWidth="1"/>
    <col min="15" max="15" width="10.57421875" style="1" customWidth="1"/>
    <col min="16" max="16384" width="11.421875" style="1" customWidth="1"/>
  </cols>
  <sheetData>
    <row r="2" spans="1:12" ht="18">
      <c r="A2" s="146" t="s">
        <v>0</v>
      </c>
      <c r="B2" s="165" t="s">
        <v>110</v>
      </c>
      <c r="C2" s="184"/>
      <c r="D2" s="170"/>
      <c r="E2" s="170"/>
      <c r="I2" s="174" t="s">
        <v>23</v>
      </c>
      <c r="J2" s="174"/>
      <c r="K2" s="150">
        <v>41030</v>
      </c>
      <c r="L2" s="20"/>
    </row>
    <row r="3" spans="2:4" ht="16.5">
      <c r="B3" s="182"/>
      <c r="C3" s="183"/>
      <c r="D3" s="96"/>
    </row>
    <row r="5" ht="17.25" thickBot="1"/>
    <row r="6" spans="1:15" ht="17.25">
      <c r="A6" s="25"/>
      <c r="B6" s="172" t="s">
        <v>1</v>
      </c>
      <c r="C6" s="173"/>
      <c r="D6" s="172" t="s">
        <v>2</v>
      </c>
      <c r="E6" s="173"/>
      <c r="F6" s="172" t="s">
        <v>3</v>
      </c>
      <c r="G6" s="173"/>
      <c r="H6" s="172" t="s">
        <v>4</v>
      </c>
      <c r="I6" s="173"/>
      <c r="J6" s="172" t="s">
        <v>32</v>
      </c>
      <c r="K6" s="173"/>
      <c r="L6" s="172" t="s">
        <v>33</v>
      </c>
      <c r="M6" s="173"/>
      <c r="N6" s="26" t="s">
        <v>5</v>
      </c>
      <c r="O6" s="26" t="s">
        <v>38</v>
      </c>
    </row>
    <row r="7" spans="1:15" ht="17.25">
      <c r="A7" s="27"/>
      <c r="B7" s="28" t="s">
        <v>31</v>
      </c>
      <c r="C7" s="28" t="s">
        <v>37</v>
      </c>
      <c r="D7" s="28" t="s">
        <v>31</v>
      </c>
      <c r="E7" s="28" t="s">
        <v>37</v>
      </c>
      <c r="F7" s="28" t="s">
        <v>31</v>
      </c>
      <c r="G7" s="28" t="s">
        <v>37</v>
      </c>
      <c r="H7" s="28" t="s">
        <v>31</v>
      </c>
      <c r="I7" s="28" t="s">
        <v>37</v>
      </c>
      <c r="J7" s="28" t="s">
        <v>31</v>
      </c>
      <c r="K7" s="28" t="s">
        <v>37</v>
      </c>
      <c r="L7" s="28" t="s">
        <v>31</v>
      </c>
      <c r="M7" s="28" t="s">
        <v>37</v>
      </c>
      <c r="N7" s="29" t="s">
        <v>25</v>
      </c>
      <c r="O7" s="30" t="s">
        <v>39</v>
      </c>
    </row>
    <row r="8" spans="1:15" ht="16.5">
      <c r="A8" s="97"/>
      <c r="B8" s="98"/>
      <c r="C8" s="33"/>
      <c r="D8" s="36"/>
      <c r="E8" s="33"/>
      <c r="F8" s="36"/>
      <c r="G8" s="33"/>
      <c r="H8" s="36"/>
      <c r="I8" s="33"/>
      <c r="J8" s="36"/>
      <c r="K8" s="33"/>
      <c r="L8" s="36"/>
      <c r="M8" s="33"/>
      <c r="N8" s="34"/>
      <c r="O8" s="34"/>
    </row>
    <row r="9" spans="1:15" ht="17.25">
      <c r="A9" s="31" t="s">
        <v>91</v>
      </c>
      <c r="B9" s="57">
        <v>386795</v>
      </c>
      <c r="C9" s="33">
        <f>30997.44+129029.8</f>
        <v>160027.24</v>
      </c>
      <c r="D9" s="76">
        <v>2170</v>
      </c>
      <c r="E9" s="33">
        <v>0</v>
      </c>
      <c r="F9" s="76">
        <v>137960</v>
      </c>
      <c r="G9" s="33">
        <f>7400+30047.33</f>
        <v>37447.33</v>
      </c>
      <c r="H9" s="76">
        <v>0</v>
      </c>
      <c r="I9" s="33">
        <v>0</v>
      </c>
      <c r="J9" s="76">
        <v>0</v>
      </c>
      <c r="K9" s="33">
        <v>0</v>
      </c>
      <c r="L9" s="76">
        <f>30000+152000</f>
        <v>182000</v>
      </c>
      <c r="M9" s="33">
        <v>48886.89</v>
      </c>
      <c r="N9" s="34">
        <f>+M9+K9+I9+G9+E9+C9</f>
        <v>246361.46</v>
      </c>
      <c r="O9" s="34">
        <f>+B9+D9+F9+H9+J9+L9-N9</f>
        <v>462563.54000000004</v>
      </c>
    </row>
    <row r="10" spans="1:15" ht="9" customHeight="1">
      <c r="A10" s="97"/>
      <c r="B10" s="98"/>
      <c r="C10" s="33"/>
      <c r="D10" s="36"/>
      <c r="E10" s="33"/>
      <c r="F10" s="36"/>
      <c r="G10" s="33"/>
      <c r="H10" s="36"/>
      <c r="I10" s="33"/>
      <c r="J10" s="36"/>
      <c r="K10" s="33"/>
      <c r="L10" s="36"/>
      <c r="M10" s="33"/>
      <c r="N10" s="34"/>
      <c r="O10" s="34"/>
    </row>
    <row r="11" spans="1:15" ht="16.5">
      <c r="A11" s="97"/>
      <c r="B11" s="98"/>
      <c r="C11" s="33"/>
      <c r="D11" s="36"/>
      <c r="E11" s="33"/>
      <c r="F11" s="36"/>
      <c r="G11" s="33"/>
      <c r="H11" s="36"/>
      <c r="I11" s="33"/>
      <c r="J11" s="36"/>
      <c r="K11" s="33"/>
      <c r="L11" s="36"/>
      <c r="M11" s="33"/>
      <c r="N11" s="34"/>
      <c r="O11" s="34"/>
    </row>
    <row r="12" spans="1:15" ht="18" thickBot="1">
      <c r="A12" s="38" t="s">
        <v>11</v>
      </c>
      <c r="B12" s="39">
        <f>SUM(B9:B11)</f>
        <v>386795</v>
      </c>
      <c r="C12" s="40">
        <f>SUM(C9)</f>
        <v>160027.24</v>
      </c>
      <c r="D12" s="39">
        <f>SUM(D9:D11)</f>
        <v>2170</v>
      </c>
      <c r="E12" s="40">
        <f>SUM(E9)</f>
        <v>0</v>
      </c>
      <c r="F12" s="39">
        <f>SUM(F9:F11)</f>
        <v>137960</v>
      </c>
      <c r="G12" s="40">
        <f>SUM(G9)</f>
        <v>37447.33</v>
      </c>
      <c r="H12" s="99">
        <f>SUM(H9:H11)</f>
        <v>0</v>
      </c>
      <c r="I12" s="40">
        <v>0</v>
      </c>
      <c r="J12" s="39">
        <f>SUM(J9:J11)</f>
        <v>0</v>
      </c>
      <c r="K12" s="40">
        <f>SUM(K9)</f>
        <v>0</v>
      </c>
      <c r="L12" s="39">
        <f>SUM(L9:L11)</f>
        <v>182000</v>
      </c>
      <c r="M12" s="40">
        <f>SUM(M9)</f>
        <v>48886.89</v>
      </c>
      <c r="N12" s="42">
        <f>SUM(N9)</f>
        <v>246361.46</v>
      </c>
      <c r="O12" s="42">
        <f>SUM(O9)</f>
        <v>462563.54000000004</v>
      </c>
    </row>
    <row r="13" spans="1:15" ht="17.25" thickBot="1">
      <c r="A13" s="43" t="s">
        <v>30</v>
      </c>
      <c r="B13" s="88"/>
      <c r="C13" s="93">
        <f>+C12/B12</f>
        <v>0.41372623741258285</v>
      </c>
      <c r="D13" s="89"/>
      <c r="E13" s="93">
        <f>+E12/D12</f>
        <v>0</v>
      </c>
      <c r="F13" s="89"/>
      <c r="G13" s="93">
        <f>+G12/F12</f>
        <v>0.27143614091040885</v>
      </c>
      <c r="H13" s="89"/>
      <c r="I13" s="89"/>
      <c r="J13" s="89"/>
      <c r="K13" s="47"/>
      <c r="L13" s="45"/>
      <c r="M13" s="141">
        <f>+M12/L12</f>
        <v>0.2686092857142857</v>
      </c>
      <c r="N13" s="58"/>
      <c r="O13" s="5"/>
    </row>
    <row r="14" spans="1:14" ht="16.5">
      <c r="A14" s="49"/>
      <c r="B14" s="49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33" spans="5:10" ht="16.5">
      <c r="E33" s="61"/>
      <c r="F33" s="61"/>
      <c r="J33" s="61"/>
    </row>
    <row r="44" spans="1:8" ht="16.5">
      <c r="A44" s="53"/>
      <c r="B44" s="53"/>
      <c r="C44" s="53"/>
      <c r="D44" s="53"/>
      <c r="G44" s="53"/>
      <c r="H44" s="53"/>
    </row>
    <row r="46" spans="3:8" ht="16.5">
      <c r="C46" s="5"/>
      <c r="D46" s="5"/>
      <c r="G46" s="53"/>
      <c r="H46" s="53"/>
    </row>
    <row r="47" spans="4:8" ht="16.5">
      <c r="D47" s="5"/>
      <c r="H47" s="53"/>
    </row>
    <row r="48" spans="1:8" ht="16.5">
      <c r="A48" s="71" t="s">
        <v>26</v>
      </c>
      <c r="B48" s="71" t="s">
        <v>27</v>
      </c>
      <c r="C48" s="91" t="s">
        <v>28</v>
      </c>
      <c r="D48" s="5"/>
      <c r="H48" s="53"/>
    </row>
    <row r="49" spans="1:8" ht="17.25">
      <c r="A49" s="65">
        <f>+B12</f>
        <v>386795</v>
      </c>
      <c r="B49" s="65">
        <f>+C12</f>
        <v>160027.24</v>
      </c>
      <c r="C49" s="91" t="s">
        <v>1</v>
      </c>
      <c r="D49" s="5"/>
      <c r="H49" s="53"/>
    </row>
    <row r="50" spans="1:8" ht="17.25">
      <c r="A50" s="65">
        <f>+D12</f>
        <v>2170</v>
      </c>
      <c r="B50" s="65">
        <f>+E12</f>
        <v>0</v>
      </c>
      <c r="C50" s="91" t="s">
        <v>2</v>
      </c>
      <c r="D50" s="5"/>
      <c r="H50" s="53"/>
    </row>
    <row r="51" spans="1:8" ht="17.25">
      <c r="A51" s="65">
        <f>+F12</f>
        <v>137960</v>
      </c>
      <c r="B51" s="65">
        <f>+G12</f>
        <v>37447.33</v>
      </c>
      <c r="C51" s="91" t="s">
        <v>3</v>
      </c>
      <c r="D51" s="5"/>
      <c r="H51" s="53"/>
    </row>
    <row r="52" spans="1:3" ht="17.25" hidden="1">
      <c r="A52" s="65">
        <f>+J12</f>
        <v>0</v>
      </c>
      <c r="B52" s="65">
        <f>+K12</f>
        <v>0</v>
      </c>
      <c r="C52" s="62" t="s">
        <v>32</v>
      </c>
    </row>
    <row r="53" spans="1:3" ht="17.25">
      <c r="A53" s="65">
        <f>+L12</f>
        <v>182000</v>
      </c>
      <c r="B53" s="65">
        <f>+M12</f>
        <v>48886.89</v>
      </c>
      <c r="C53" s="62" t="s">
        <v>35</v>
      </c>
    </row>
    <row r="54" spans="1:2" ht="17.25">
      <c r="A54" s="64"/>
      <c r="B54" s="64"/>
    </row>
    <row r="55" spans="1:2" ht="17.25">
      <c r="A55" s="64">
        <v>167558</v>
      </c>
      <c r="B55" s="65">
        <v>40952.32</v>
      </c>
    </row>
    <row r="56" spans="1:2" ht="17.25">
      <c r="A56" s="64"/>
      <c r="B56" s="64"/>
    </row>
  </sheetData>
  <sheetProtection/>
  <mergeCells count="9">
    <mergeCell ref="I2:J2"/>
    <mergeCell ref="L6:M6"/>
    <mergeCell ref="J6:K6"/>
    <mergeCell ref="H6:I6"/>
    <mergeCell ref="B2:E2"/>
    <mergeCell ref="F6:G6"/>
    <mergeCell ref="B3:C3"/>
    <mergeCell ref="D6:E6"/>
    <mergeCell ref="B6:C6"/>
  </mergeCells>
  <printOptions/>
  <pageMargins left="2.28" right="0.75" top="0.88" bottom="0.54" header="0.4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13.28125" style="1" customWidth="1"/>
    <col min="2" max="2" width="10.140625" style="1" customWidth="1"/>
    <col min="3" max="3" width="12.57421875" style="1" customWidth="1"/>
    <col min="4" max="4" width="9.140625" style="1" customWidth="1"/>
    <col min="5" max="5" width="12.140625" style="1" customWidth="1"/>
    <col min="6" max="6" width="9.421875" style="1" customWidth="1"/>
    <col min="7" max="7" width="12.57421875" style="1" customWidth="1"/>
    <col min="8" max="8" width="8.00390625" style="1" customWidth="1"/>
    <col min="9" max="9" width="9.421875" style="1" customWidth="1"/>
    <col min="10" max="10" width="9.00390625" style="1" customWidth="1"/>
    <col min="11" max="11" width="10.421875" style="1" customWidth="1"/>
    <col min="12" max="12" width="9.421875" style="1" customWidth="1"/>
    <col min="13" max="13" width="10.28125" style="1" customWidth="1"/>
    <col min="14" max="14" width="9.57421875" style="1" customWidth="1"/>
    <col min="15" max="15" width="12.421875" style="1" customWidth="1"/>
    <col min="16" max="16" width="13.28125" style="1" customWidth="1"/>
    <col min="17" max="17" width="13.00390625" style="1" customWidth="1"/>
    <col min="18" max="18" width="15.421875" style="1" customWidth="1"/>
    <col min="19" max="16384" width="11.421875" style="1" customWidth="1"/>
  </cols>
  <sheetData>
    <row r="1" spans="1:15" ht="18">
      <c r="A1" s="146" t="s">
        <v>0</v>
      </c>
      <c r="B1" s="165" t="s">
        <v>111</v>
      </c>
      <c r="C1" s="177"/>
      <c r="D1" s="177"/>
      <c r="E1" s="177"/>
      <c r="F1" s="178"/>
      <c r="L1" s="174" t="s">
        <v>23</v>
      </c>
      <c r="M1" s="175"/>
      <c r="N1" s="150">
        <v>41030</v>
      </c>
      <c r="O1" s="23"/>
    </row>
    <row r="2" spans="2:4" ht="4.5" customHeight="1">
      <c r="B2" s="182"/>
      <c r="C2" s="183"/>
      <c r="D2" s="183"/>
    </row>
    <row r="3" ht="17.25" thickBot="1"/>
    <row r="4" spans="1:17" ht="17.25">
      <c r="A4" s="25"/>
      <c r="B4" s="172" t="s">
        <v>1</v>
      </c>
      <c r="C4" s="173"/>
      <c r="D4" s="172" t="s">
        <v>2</v>
      </c>
      <c r="E4" s="173"/>
      <c r="F4" s="172" t="s">
        <v>3</v>
      </c>
      <c r="G4" s="173"/>
      <c r="H4" s="172" t="s">
        <v>34</v>
      </c>
      <c r="I4" s="173"/>
      <c r="J4" s="172" t="s">
        <v>32</v>
      </c>
      <c r="K4" s="173"/>
      <c r="L4" s="172" t="s">
        <v>36</v>
      </c>
      <c r="M4" s="173"/>
      <c r="N4" s="172" t="s">
        <v>33</v>
      </c>
      <c r="O4" s="173"/>
      <c r="P4" s="26" t="s">
        <v>5</v>
      </c>
      <c r="Q4" s="26" t="s">
        <v>38</v>
      </c>
    </row>
    <row r="5" spans="1:17" ht="17.25">
      <c r="A5" s="27"/>
      <c r="B5" s="28" t="s">
        <v>31</v>
      </c>
      <c r="C5" s="28" t="s">
        <v>37</v>
      </c>
      <c r="D5" s="28" t="s">
        <v>31</v>
      </c>
      <c r="E5" s="28" t="s">
        <v>37</v>
      </c>
      <c r="F5" s="28" t="s">
        <v>31</v>
      </c>
      <c r="G5" s="28" t="s">
        <v>37</v>
      </c>
      <c r="H5" s="28" t="s">
        <v>31</v>
      </c>
      <c r="I5" s="28" t="s">
        <v>37</v>
      </c>
      <c r="J5" s="28" t="s">
        <v>31</v>
      </c>
      <c r="K5" s="28" t="s">
        <v>37</v>
      </c>
      <c r="L5" s="28" t="s">
        <v>31</v>
      </c>
      <c r="M5" s="28" t="s">
        <v>37</v>
      </c>
      <c r="N5" s="28" t="s">
        <v>31</v>
      </c>
      <c r="O5" s="28" t="s">
        <v>37</v>
      </c>
      <c r="P5" s="126" t="s">
        <v>25</v>
      </c>
      <c r="Q5" s="30" t="s">
        <v>39</v>
      </c>
    </row>
    <row r="6" spans="1:18" ht="17.25">
      <c r="A6" s="31" t="s">
        <v>14</v>
      </c>
      <c r="B6" s="32">
        <v>962574</v>
      </c>
      <c r="C6" s="33">
        <f>51226.51+363892.45+10233.72+27285.45+25841.95+39225.44</f>
        <v>517705.52</v>
      </c>
      <c r="D6" s="68">
        <v>44440</v>
      </c>
      <c r="E6" s="33">
        <f>179410.64+40738.1</f>
        <v>220148.74000000002</v>
      </c>
      <c r="F6" s="68">
        <v>214620</v>
      </c>
      <c r="G6" s="33">
        <f>51521.82+138474.54</f>
        <v>189996.36000000002</v>
      </c>
      <c r="H6" s="68">
        <v>200000</v>
      </c>
      <c r="I6" s="33">
        <f>1134+346.71</f>
        <v>1480.71</v>
      </c>
      <c r="J6" s="68">
        <f>4500+800000-500000</f>
        <v>304500</v>
      </c>
      <c r="K6" s="33">
        <f>806745.71+5458.04</f>
        <v>812203.75</v>
      </c>
      <c r="L6" s="68">
        <v>40000</v>
      </c>
      <c r="M6" s="33">
        <v>1524.6</v>
      </c>
      <c r="N6" s="68">
        <f>500000+1000000</f>
        <v>1500000</v>
      </c>
      <c r="O6" s="33">
        <f>20542.03+442095.11</f>
        <v>462637.14</v>
      </c>
      <c r="P6" s="34">
        <f aca="true" t="shared" si="0" ref="P6:P12">+O6+M6+K6+I6+G6+E6+C6</f>
        <v>2205696.8200000003</v>
      </c>
      <c r="Q6" s="34">
        <f aca="true" t="shared" si="1" ref="Q6:Q12">+B6+D6+F6+H6+J6+L6+N6-P6</f>
        <v>1060437.1799999997</v>
      </c>
      <c r="R6" s="5"/>
    </row>
    <row r="7" spans="1:18" ht="17.25">
      <c r="A7" s="31" t="s">
        <v>112</v>
      </c>
      <c r="B7" s="32">
        <v>2153375</v>
      </c>
      <c r="C7" s="33">
        <f>110967.03+341901.54+58811.24+118713.38+69948.91+113835.07</f>
        <v>814177.1699999999</v>
      </c>
      <c r="D7" s="68">
        <v>131148</v>
      </c>
      <c r="E7" s="33">
        <f>10686.04+45013.22</f>
        <v>55699.26</v>
      </c>
      <c r="F7" s="68">
        <v>480208</v>
      </c>
      <c r="G7" s="33">
        <f>45611.17+96488.4+1379.18+44300.1</f>
        <v>187778.85</v>
      </c>
      <c r="H7" s="68">
        <v>0</v>
      </c>
      <c r="I7" s="33">
        <v>53982</v>
      </c>
      <c r="J7" s="68">
        <v>8100</v>
      </c>
      <c r="K7" s="33">
        <f>1497.88+2480</f>
        <v>3977.88</v>
      </c>
      <c r="L7" s="68">
        <v>64000</v>
      </c>
      <c r="M7" s="33">
        <f>-2730+11221.24</f>
        <v>8491.24</v>
      </c>
      <c r="N7" s="68">
        <v>0</v>
      </c>
      <c r="O7" s="33">
        <v>175442.82</v>
      </c>
      <c r="P7" s="34">
        <f>+O7+M7+K7+I7+G7+E7+C7</f>
        <v>1299549.22</v>
      </c>
      <c r="Q7" s="34">
        <f t="shared" si="1"/>
        <v>1537281.78</v>
      </c>
      <c r="R7" s="5"/>
    </row>
    <row r="8" spans="1:18" ht="17.25">
      <c r="A8" s="31" t="s">
        <v>131</v>
      </c>
      <c r="B8" s="32">
        <v>7568677</v>
      </c>
      <c r="C8" s="33">
        <f>1015488.87+2035365.55</f>
        <v>3050854.42</v>
      </c>
      <c r="D8" s="68">
        <v>1451750</v>
      </c>
      <c r="E8" s="33">
        <f>55465.68+1071607.19</f>
        <v>1127072.8699999999</v>
      </c>
      <c r="F8" s="68">
        <v>2116478</v>
      </c>
      <c r="G8" s="33">
        <f>328891.96+1070150.31</f>
        <v>1399042.27</v>
      </c>
      <c r="H8" s="68">
        <v>0</v>
      </c>
      <c r="I8" s="33">
        <v>0</v>
      </c>
      <c r="J8" s="68">
        <v>257000</v>
      </c>
      <c r="K8" s="33">
        <v>703.69</v>
      </c>
      <c r="L8" s="68">
        <v>0</v>
      </c>
      <c r="M8" s="33">
        <f>76.64+4699.26</f>
        <v>4775.900000000001</v>
      </c>
      <c r="N8" s="68">
        <v>0</v>
      </c>
      <c r="O8" s="33">
        <v>596237.38</v>
      </c>
      <c r="P8" s="34">
        <f t="shared" si="0"/>
        <v>6178686.529999999</v>
      </c>
      <c r="Q8" s="34">
        <f t="shared" si="1"/>
        <v>5215218.470000001</v>
      </c>
      <c r="R8" s="5"/>
    </row>
    <row r="9" spans="1:18" ht="17.25">
      <c r="A9" s="31" t="s">
        <v>40</v>
      </c>
      <c r="B9" s="32">
        <v>4641806</v>
      </c>
      <c r="C9" s="33">
        <f>598404.64+851616.57+15183.87+17235.2</f>
        <v>1482440.28</v>
      </c>
      <c r="D9" s="68">
        <v>557000</v>
      </c>
      <c r="E9" s="33">
        <f>20969.85+445500.65</f>
        <v>466470.5</v>
      </c>
      <c r="F9" s="68">
        <v>662000</v>
      </c>
      <c r="G9" s="33">
        <f>75458.3+109338.37</f>
        <v>184796.66999999998</v>
      </c>
      <c r="H9" s="68">
        <v>0</v>
      </c>
      <c r="I9" s="33">
        <v>0</v>
      </c>
      <c r="J9" s="68">
        <v>6000</v>
      </c>
      <c r="K9" s="33">
        <f>2860+454.14</f>
        <v>3314.14</v>
      </c>
      <c r="L9" s="68">
        <v>646000</v>
      </c>
      <c r="M9" s="33">
        <f>8034.52+268948.36</f>
        <v>276982.88</v>
      </c>
      <c r="N9" s="68">
        <v>0</v>
      </c>
      <c r="O9" s="33">
        <v>237517.98</v>
      </c>
      <c r="P9" s="34">
        <f t="shared" si="0"/>
        <v>2651522.45</v>
      </c>
      <c r="Q9" s="34">
        <f t="shared" si="1"/>
        <v>3861283.55</v>
      </c>
      <c r="R9" s="5"/>
    </row>
    <row r="10" spans="1:18" ht="17.25">
      <c r="A10" s="31" t="s">
        <v>113</v>
      </c>
      <c r="B10" s="32">
        <v>164314</v>
      </c>
      <c r="C10" s="33">
        <f>27741.42+32813.07</f>
        <v>60554.49</v>
      </c>
      <c r="D10" s="100">
        <v>738400</v>
      </c>
      <c r="E10" s="80">
        <f>12011.92+91568.61</f>
        <v>103580.53</v>
      </c>
      <c r="F10" s="100">
        <v>0</v>
      </c>
      <c r="G10" s="80">
        <f>4978.6+9052</f>
        <v>14030.6</v>
      </c>
      <c r="H10" s="100">
        <v>0</v>
      </c>
      <c r="I10" s="80">
        <v>0</v>
      </c>
      <c r="J10" s="100">
        <v>40000</v>
      </c>
      <c r="K10" s="80">
        <v>0</v>
      </c>
      <c r="L10" s="100">
        <v>120000</v>
      </c>
      <c r="M10" s="80">
        <f>5034.44+19717.4</f>
        <v>24751.84</v>
      </c>
      <c r="N10" s="100">
        <v>0</v>
      </c>
      <c r="O10" s="80">
        <f>590+3068</f>
        <v>3658</v>
      </c>
      <c r="P10" s="34">
        <f t="shared" si="0"/>
        <v>206575.46</v>
      </c>
      <c r="Q10" s="34">
        <f t="shared" si="1"/>
        <v>856138.54</v>
      </c>
      <c r="R10" s="5"/>
    </row>
    <row r="11" spans="1:18" ht="17.25">
      <c r="A11" s="31" t="s">
        <v>114</v>
      </c>
      <c r="B11" s="32">
        <v>835186</v>
      </c>
      <c r="C11" s="33">
        <f>124602.96+210048.3</f>
        <v>334651.26</v>
      </c>
      <c r="D11" s="68">
        <v>534000</v>
      </c>
      <c r="E11" s="33">
        <f>14407+193937.77</f>
        <v>208344.77</v>
      </c>
      <c r="F11" s="68">
        <f>3351600-500000</f>
        <v>2851600</v>
      </c>
      <c r="G11" s="33">
        <f>519276.4+986910.88</f>
        <v>1506187.28</v>
      </c>
      <c r="H11" s="100">
        <v>0</v>
      </c>
      <c r="I11" s="33">
        <v>0</v>
      </c>
      <c r="J11" s="100">
        <v>0</v>
      </c>
      <c r="K11" s="33">
        <v>0</v>
      </c>
      <c r="L11" s="100">
        <v>0</v>
      </c>
      <c r="M11" s="33">
        <v>506.8</v>
      </c>
      <c r="N11" s="100">
        <v>0</v>
      </c>
      <c r="O11" s="33">
        <v>211416.43</v>
      </c>
      <c r="P11" s="34">
        <f t="shared" si="0"/>
        <v>2261106.54</v>
      </c>
      <c r="Q11" s="34">
        <f t="shared" si="1"/>
        <v>1959679.46</v>
      </c>
      <c r="R11" s="5"/>
    </row>
    <row r="12" spans="1:18" ht="17.25">
      <c r="A12" s="31" t="s">
        <v>79</v>
      </c>
      <c r="B12" s="32">
        <v>6178771</v>
      </c>
      <c r="C12" s="33">
        <f>946929.16+1388582.1+83453.53+102326.52+14232.24+19775.8+3550.85+7185.14</f>
        <v>2566035.3400000003</v>
      </c>
      <c r="D12" s="68">
        <v>364800</v>
      </c>
      <c r="E12" s="33">
        <f>29802.39+133433.46</f>
        <v>163235.84999999998</v>
      </c>
      <c r="F12" s="68">
        <v>567520</v>
      </c>
      <c r="G12" s="33">
        <f>48882.82+315094.04+5100</f>
        <v>369076.86</v>
      </c>
      <c r="H12" s="68">
        <v>2000</v>
      </c>
      <c r="I12" s="33">
        <v>5145</v>
      </c>
      <c r="J12" s="68">
        <v>168000</v>
      </c>
      <c r="K12" s="33">
        <f>59672.15+10988.5</f>
        <v>70660.65</v>
      </c>
      <c r="L12" s="68">
        <v>220000</v>
      </c>
      <c r="M12" s="33">
        <f>18760.06+206434.37</f>
        <v>225194.43</v>
      </c>
      <c r="N12" s="68">
        <v>0</v>
      </c>
      <c r="O12" s="33">
        <f>3000+351516.95</f>
        <v>354516.95</v>
      </c>
      <c r="P12" s="34">
        <f t="shared" si="0"/>
        <v>3753865.08</v>
      </c>
      <c r="Q12" s="34">
        <f t="shared" si="1"/>
        <v>3747225.92</v>
      </c>
      <c r="R12" s="5"/>
    </row>
    <row r="13" spans="1:18" ht="18" thickBot="1">
      <c r="A13" s="38" t="s">
        <v>11</v>
      </c>
      <c r="B13" s="39">
        <f aca="true" t="shared" si="2" ref="B13:Q13">SUM(B6:B12)</f>
        <v>22504703</v>
      </c>
      <c r="C13" s="40">
        <f t="shared" si="2"/>
        <v>8826418.48</v>
      </c>
      <c r="D13" s="39">
        <f t="shared" si="2"/>
        <v>3821538</v>
      </c>
      <c r="E13" s="40">
        <f t="shared" si="2"/>
        <v>2344552.52</v>
      </c>
      <c r="F13" s="39">
        <f t="shared" si="2"/>
        <v>6892426</v>
      </c>
      <c r="G13" s="40">
        <f t="shared" si="2"/>
        <v>3850908.89</v>
      </c>
      <c r="H13" s="39">
        <f t="shared" si="2"/>
        <v>202000</v>
      </c>
      <c r="I13" s="40">
        <f t="shared" si="2"/>
        <v>60607.71</v>
      </c>
      <c r="J13" s="39">
        <f t="shared" si="2"/>
        <v>783600</v>
      </c>
      <c r="K13" s="40">
        <f t="shared" si="2"/>
        <v>890860.11</v>
      </c>
      <c r="L13" s="39">
        <f t="shared" si="2"/>
        <v>1090000</v>
      </c>
      <c r="M13" s="40">
        <f t="shared" si="2"/>
        <v>542227.69</v>
      </c>
      <c r="N13" s="39">
        <f t="shared" si="2"/>
        <v>1500000</v>
      </c>
      <c r="O13" s="40">
        <f t="shared" si="2"/>
        <v>2041426.6999999997</v>
      </c>
      <c r="P13" s="42">
        <f t="shared" si="2"/>
        <v>18557002.1</v>
      </c>
      <c r="Q13" s="42">
        <f t="shared" si="2"/>
        <v>18237264.9</v>
      </c>
      <c r="R13" s="5"/>
    </row>
    <row r="14" spans="1:17" ht="17.25" thickBot="1">
      <c r="A14" s="38" t="s">
        <v>30</v>
      </c>
      <c r="B14" s="88"/>
      <c r="C14" s="93">
        <f>+C13/B13</f>
        <v>0.392203286575255</v>
      </c>
      <c r="D14" s="93"/>
      <c r="E14" s="93">
        <f>+E13/D13</f>
        <v>0.6135101940632279</v>
      </c>
      <c r="F14" s="93"/>
      <c r="G14" s="93">
        <f>+G13/F13</f>
        <v>0.5587160297404716</v>
      </c>
      <c r="H14" s="93"/>
      <c r="I14" s="93">
        <f>+I13/H13</f>
        <v>0.30003816831683167</v>
      </c>
      <c r="J14" s="93"/>
      <c r="K14" s="93">
        <f>+K13/J13</f>
        <v>1.136881202143951</v>
      </c>
      <c r="L14" s="148"/>
      <c r="M14" s="147">
        <f>+M13/L13</f>
        <v>0.49745659633027517</v>
      </c>
      <c r="N14" s="45"/>
      <c r="O14" s="141">
        <f>+O13/N13</f>
        <v>1.360951133333333</v>
      </c>
      <c r="P14" s="58"/>
      <c r="Q14" s="5"/>
    </row>
    <row r="15" spans="1:17" ht="16.5">
      <c r="A15" s="49"/>
      <c r="B15" s="4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140"/>
      <c r="Q15" s="5"/>
    </row>
    <row r="16" spans="16:17" ht="16.5">
      <c r="P16" s="158"/>
      <c r="Q16" s="5"/>
    </row>
    <row r="33" ht="16.5">
      <c r="J33" s="61"/>
    </row>
    <row r="38" spans="1:6" ht="16.5">
      <c r="A38" s="53"/>
      <c r="B38" s="53"/>
      <c r="C38" s="53"/>
      <c r="D38" s="53"/>
      <c r="E38" s="53"/>
      <c r="F38" s="53"/>
    </row>
    <row r="40" spans="3:6" ht="16.5">
      <c r="C40" s="52"/>
      <c r="D40" s="5"/>
      <c r="E40" s="53"/>
      <c r="F40" s="53"/>
    </row>
    <row r="41" spans="3:6" ht="16.5">
      <c r="C41" s="52"/>
      <c r="D41" s="5"/>
      <c r="E41" s="53"/>
      <c r="F41" s="53"/>
    </row>
    <row r="42" spans="3:6" ht="16.5">
      <c r="C42" s="52"/>
      <c r="D42" s="5"/>
      <c r="E42" s="53"/>
      <c r="F42" s="53"/>
    </row>
    <row r="43" spans="1:6" ht="16.5">
      <c r="A43" s="78"/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6" spans="3:6" ht="16.5">
      <c r="C46" s="52"/>
      <c r="D46" s="5"/>
      <c r="E46" s="53"/>
      <c r="F46" s="53"/>
    </row>
    <row r="47" ht="16.5">
      <c r="C47" s="48"/>
    </row>
    <row r="49" spans="1:4" ht="16.5">
      <c r="A49" s="62" t="s">
        <v>26</v>
      </c>
      <c r="B49" s="71" t="s">
        <v>27</v>
      </c>
      <c r="C49" s="62" t="s">
        <v>28</v>
      </c>
      <c r="D49" s="62"/>
    </row>
    <row r="50" spans="1:3" ht="17.25">
      <c r="A50" s="64">
        <f>+B13</f>
        <v>22504703</v>
      </c>
      <c r="B50" s="65">
        <f>+C13</f>
        <v>8826418.48</v>
      </c>
      <c r="C50" s="62" t="s">
        <v>1</v>
      </c>
    </row>
    <row r="51" spans="1:3" ht="17.25">
      <c r="A51" s="64">
        <f>+D13</f>
        <v>3821538</v>
      </c>
      <c r="B51" s="65">
        <f>+E13</f>
        <v>2344552.52</v>
      </c>
      <c r="C51" s="62" t="s">
        <v>2</v>
      </c>
    </row>
    <row r="52" spans="1:3" ht="17.25">
      <c r="A52" s="64">
        <f>+F13</f>
        <v>6892426</v>
      </c>
      <c r="B52" s="65">
        <f>+G13</f>
        <v>3850908.89</v>
      </c>
      <c r="C52" s="62" t="s">
        <v>3</v>
      </c>
    </row>
    <row r="53" spans="1:3" ht="17.25">
      <c r="A53" s="66">
        <f>+H13</f>
        <v>202000</v>
      </c>
      <c r="B53" s="65">
        <f>+I13</f>
        <v>60607.71</v>
      </c>
      <c r="C53" s="62" t="s">
        <v>34</v>
      </c>
    </row>
    <row r="54" spans="1:3" ht="17.25">
      <c r="A54" s="66">
        <f>+J13</f>
        <v>783600</v>
      </c>
      <c r="B54" s="65">
        <f>+K13</f>
        <v>890860.11</v>
      </c>
      <c r="C54" s="62" t="s">
        <v>32</v>
      </c>
    </row>
    <row r="55" spans="1:3" ht="17.25">
      <c r="A55" s="64">
        <f>+L13</f>
        <v>1090000</v>
      </c>
      <c r="B55" s="65">
        <f>+M13</f>
        <v>542227.69</v>
      </c>
      <c r="C55" s="62" t="s">
        <v>29</v>
      </c>
    </row>
    <row r="56" spans="1:3" ht="17.25">
      <c r="A56" s="64">
        <f>+N13</f>
        <v>1500000</v>
      </c>
      <c r="B56" s="65">
        <f>+O13</f>
        <v>2041426.6999999997</v>
      </c>
      <c r="C56" s="62" t="s">
        <v>35</v>
      </c>
    </row>
    <row r="57" spans="1:2" ht="17.25">
      <c r="A57" s="64"/>
      <c r="B57" s="64"/>
    </row>
    <row r="58" spans="1:2" ht="17.25">
      <c r="A58" s="64">
        <v>4568329</v>
      </c>
      <c r="B58" s="65">
        <v>1360852.79</v>
      </c>
    </row>
  </sheetData>
  <sheetProtection/>
  <mergeCells count="10">
    <mergeCell ref="L1:M1"/>
    <mergeCell ref="B1:F1"/>
    <mergeCell ref="N4:O4"/>
    <mergeCell ref="B4:C4"/>
    <mergeCell ref="D4:E4"/>
    <mergeCell ref="F4:G4"/>
    <mergeCell ref="H4:I4"/>
    <mergeCell ref="B2:D2"/>
    <mergeCell ref="J4:K4"/>
    <mergeCell ref="L4:M4"/>
  </mergeCells>
  <printOptions/>
  <pageMargins left="0.3937007874015748" right="0.2755905511811024" top="0.9055118110236221" bottom="0.2362204724409449" header="0.35433070866141736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Cipolletti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Contaduría Municipal</dc:creator>
  <cp:keywords/>
  <dc:description/>
  <cp:lastModifiedBy>contaduria-219</cp:lastModifiedBy>
  <cp:lastPrinted>2012-08-06T16:41:34Z</cp:lastPrinted>
  <dcterms:created xsi:type="dcterms:W3CDTF">2000-04-26T12:06:38Z</dcterms:created>
  <dcterms:modified xsi:type="dcterms:W3CDTF">2013-04-29T14:59:43Z</dcterms:modified>
  <cp:category/>
  <cp:version/>
  <cp:contentType/>
  <cp:contentStatus/>
</cp:coreProperties>
</file>