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745" windowHeight="6690" tabRatio="603" firstSheet="1" activeTab="11"/>
  </bookViews>
  <sheets>
    <sheet name="INT" sheetId="1" r:id="rId1"/>
    <sheet name="GOB" sheetId="2" r:id="rId2"/>
    <sheet name="SEH" sheetId="3" r:id="rId3"/>
    <sheet name="SAS" sheetId="4" r:id="rId4"/>
    <sheet name="SOP" sheetId="5" r:id="rId5"/>
    <sheet name="SFOI" sheetId="6" r:id="rId6"/>
    <sheet name="CD" sheetId="7" r:id="rId7"/>
    <sheet name="CM" sheetId="8" r:id="rId8"/>
    <sheet name="SSP" sheetId="9" r:id="rId9"/>
    <sheet name="CULTURA" sheetId="10" r:id="rId10"/>
    <sheet name="DEPORTES" sheetId="11" r:id="rId11"/>
    <sheet name="GENERAL I" sheetId="12" r:id="rId12"/>
  </sheets>
  <definedNames/>
  <calcPr fullCalcOnLoad="1"/>
</workbook>
</file>

<file path=xl/sharedStrings.xml><?xml version="1.0" encoding="utf-8"?>
<sst xmlns="http://schemas.openxmlformats.org/spreadsheetml/2006/main" count="547" uniqueCount="132">
  <si>
    <t>AREA:</t>
  </si>
  <si>
    <t>PERSONAL</t>
  </si>
  <si>
    <t>CONSUMO</t>
  </si>
  <si>
    <t>SERVICIOS</t>
  </si>
  <si>
    <t>TRANS.CTES.</t>
  </si>
  <si>
    <t>TOTAL</t>
  </si>
  <si>
    <t>Dir.Hacienda</t>
  </si>
  <si>
    <t>Dir.Informática</t>
  </si>
  <si>
    <t>Dir.Suministros</t>
  </si>
  <si>
    <t>Tesorería</t>
  </si>
  <si>
    <t>Contaduría</t>
  </si>
  <si>
    <t>TOTALES</t>
  </si>
  <si>
    <t>Dir.Arquitectura</t>
  </si>
  <si>
    <t>Dir.Des.Urbano</t>
  </si>
  <si>
    <t>Secretaría</t>
  </si>
  <si>
    <t>Intendencia</t>
  </si>
  <si>
    <t>Sec.Gobierno</t>
  </si>
  <si>
    <t>Sec.Econ.y Hacienda</t>
  </si>
  <si>
    <t>Sec.Obras Públicas</t>
  </si>
  <si>
    <t>Sec.Servicios Públicos</t>
  </si>
  <si>
    <t>Sec.Acción Social</t>
  </si>
  <si>
    <t>Concejo Deliberante</t>
  </si>
  <si>
    <t>Contraloría Municipal</t>
  </si>
  <si>
    <t>ACUMULADO A:</t>
  </si>
  <si>
    <t>SALDO</t>
  </si>
  <si>
    <t>EJECUTADO</t>
  </si>
  <si>
    <t>PRESUPUESTO</t>
  </si>
  <si>
    <t>EJECUCION</t>
  </si>
  <si>
    <t>RUBRO</t>
  </si>
  <si>
    <t>TRAB.PUBL.</t>
  </si>
  <si>
    <t>% EJECUTADO</t>
  </si>
  <si>
    <t>crédito</t>
  </si>
  <si>
    <t>BS.CAP.+BS.PREEX.</t>
  </si>
  <si>
    <t>AMORTIZ.DEUDA</t>
  </si>
  <si>
    <t>TRANSF.CTES.</t>
  </si>
  <si>
    <t>AMORT.DDA.</t>
  </si>
  <si>
    <t>TRABAJOS PUBLICOS</t>
  </si>
  <si>
    <t>ejecución</t>
  </si>
  <si>
    <t>SDO. CTO.</t>
  </si>
  <si>
    <t>PPTO.</t>
  </si>
  <si>
    <t xml:space="preserve">Dir.Talleres </t>
  </si>
  <si>
    <t>EJECUCION PRESUPUESTARIA POR AREAS</t>
  </si>
  <si>
    <t>Datos al:</t>
  </si>
  <si>
    <t>AREA</t>
  </si>
  <si>
    <t xml:space="preserve">CREDITO </t>
  </si>
  <si>
    <t xml:space="preserve">% </t>
  </si>
  <si>
    <t xml:space="preserve">EJECUCION DEL GASTO (valores acumulados) </t>
  </si>
  <si>
    <t>POR  AREA</t>
  </si>
  <si>
    <t>ejecutado</t>
  </si>
  <si>
    <t>BS.CAP+PREEX.</t>
  </si>
  <si>
    <t>CTO.PTO.</t>
  </si>
  <si>
    <t>% ejecutado por rubros</t>
  </si>
  <si>
    <t>Referencias:</t>
  </si>
  <si>
    <t>sdo.cto.pto.</t>
  </si>
  <si>
    <t>amort.dda.</t>
  </si>
  <si>
    <t>trab.públ.</t>
  </si>
  <si>
    <t>bs.cap+preex.</t>
  </si>
  <si>
    <t>transf.ctes.</t>
  </si>
  <si>
    <t>servicios</t>
  </si>
  <si>
    <t>consumo</t>
  </si>
  <si>
    <t>personal</t>
  </si>
  <si>
    <t>trans.</t>
  </si>
  <si>
    <t>bs.cap+preex</t>
  </si>
  <si>
    <t>trab.publ</t>
  </si>
  <si>
    <t>sdo.cto.</t>
  </si>
  <si>
    <t>total</t>
  </si>
  <si>
    <t>INT</t>
  </si>
  <si>
    <t>GOB</t>
  </si>
  <si>
    <t>SEH</t>
  </si>
  <si>
    <t>SOP</t>
  </si>
  <si>
    <t>SSP</t>
  </si>
  <si>
    <t>SAS</t>
  </si>
  <si>
    <t>CD</t>
  </si>
  <si>
    <t>CM</t>
  </si>
  <si>
    <t>Dir.Admin.y Técnica</t>
  </si>
  <si>
    <t>Dir.Administrativa</t>
  </si>
  <si>
    <t>Dir.Desarrollo Social</t>
  </si>
  <si>
    <t>Dir.Com.Institucional</t>
  </si>
  <si>
    <t>Dir.Protección Civil</t>
  </si>
  <si>
    <t>Dir.Planeam.</t>
  </si>
  <si>
    <t>Dir.Obr.Infraest.</t>
  </si>
  <si>
    <t>BS.CAP+BS.PREEX.</t>
  </si>
  <si>
    <t>Dir.Prom.Comunitaria</t>
  </si>
  <si>
    <t>Dir.Gral.Adm.L.yT.</t>
  </si>
  <si>
    <t>Dir.Asunt.Cont.yDict.</t>
  </si>
  <si>
    <t xml:space="preserve"> </t>
  </si>
  <si>
    <t>Sec.Fisc.y Org.Interna</t>
  </si>
  <si>
    <t xml:space="preserve">                 TRAB.PUBLICOS</t>
  </si>
  <si>
    <t>Dir.Rec.Humanos</t>
  </si>
  <si>
    <t>Dir.Comerc.y Bromat.</t>
  </si>
  <si>
    <t>Dir.Tráns.y Transp.</t>
  </si>
  <si>
    <t>Privada</t>
  </si>
  <si>
    <t xml:space="preserve">                    TRANSF. CTES.</t>
  </si>
  <si>
    <t>CULT.</t>
  </si>
  <si>
    <t>DEP.</t>
  </si>
  <si>
    <t>TRAB.PUBLICOS</t>
  </si>
  <si>
    <t>Presidencia</t>
  </si>
  <si>
    <t>SFOI</t>
  </si>
  <si>
    <t>Unid.Des.Económico</t>
  </si>
  <si>
    <t>Asesoria en Seg.</t>
  </si>
  <si>
    <t>TRAB. PÚBLICOS</t>
  </si>
  <si>
    <t>Dir.Recaudaciones</t>
  </si>
  <si>
    <t>TRAB. PUBLICOS</t>
  </si>
  <si>
    <t>INTENDENCIA  MUNICIPAL</t>
  </si>
  <si>
    <t>SECRETARIA DE  GOBIERNO</t>
  </si>
  <si>
    <t>Juzgado de Faltas</t>
  </si>
  <si>
    <t>SECRETARIA DE ACCIÓN  SOCIAL</t>
  </si>
  <si>
    <t>Dir. Tercera Edad</t>
  </si>
  <si>
    <t>SECRETARIA DE OBRAS  PÚBLICAS</t>
  </si>
  <si>
    <t>SECRETARIA DE FISCALIZACIÓN Y  ORGANIZACIÓN  INTERNA</t>
  </si>
  <si>
    <t>CONCEJO  DELIBERANTE</t>
  </si>
  <si>
    <t>CONTRALORIA  MUNICIPAL</t>
  </si>
  <si>
    <t>SECRETARIA DE SERVICIOS  PÚBLICOS</t>
  </si>
  <si>
    <t>Dir.Scios.Grales.</t>
  </si>
  <si>
    <t>Dpto.San.Higiene</t>
  </si>
  <si>
    <t>Dpto. Talleres</t>
  </si>
  <si>
    <t>Dpto.Riego</t>
  </si>
  <si>
    <t>DIRECCIÓN   GENERAL  DE  CULTURA</t>
  </si>
  <si>
    <t>DIRECCIÓN   GENERAL  DE  DEPORTES</t>
  </si>
  <si>
    <t>Dir.Gral. de Cultura</t>
  </si>
  <si>
    <t>Dir.Gral. de Deportes</t>
  </si>
  <si>
    <t>Dir. Desarrollo Social</t>
  </si>
  <si>
    <t>Dirección</t>
  </si>
  <si>
    <t>Coord.Téc.Act.Fisicas y Rec.</t>
  </si>
  <si>
    <t>Coord.Téc.Deport.y Eventos</t>
  </si>
  <si>
    <t>SECRETARIA DE  ECONOMÍA Y  HACIENDA</t>
  </si>
  <si>
    <t>Unidad Margen Sur</t>
  </si>
  <si>
    <t>Dir.Parque Industrial</t>
  </si>
  <si>
    <t>Area Juntas Vecinales</t>
  </si>
  <si>
    <t>Deleg.Mpal.Las Perlas</t>
  </si>
  <si>
    <t>Dir.Proy.Urbanisticos</t>
  </si>
  <si>
    <t>Bloque Frente p/la Victoria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</si>
</sst>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00"/>
    <numFmt numFmtId="175" formatCode="0.00000000"/>
    <numFmt numFmtId="176" formatCode="#,##0.000"/>
    <numFmt numFmtId="177" formatCode="#,##0.0000"/>
    <numFmt numFmtId="178" formatCode="#,##0.00000"/>
    <numFmt numFmtId="179" formatCode="0.0000%"/>
    <numFmt numFmtId="180" formatCode="0.000%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_);\(0\)"/>
    <numFmt numFmtId="188" formatCode="&quot;$&quot;\ #,##0"/>
    <numFmt numFmtId="189" formatCode="0.00000%"/>
    <numFmt numFmtId="190" formatCode="0.000000%"/>
  </numFmts>
  <fonts count="100">
    <font>
      <sz val="11"/>
      <name val="Garamond"/>
      <family val="0"/>
    </font>
    <font>
      <sz val="8"/>
      <name val="Garamond"/>
      <family val="0"/>
    </font>
    <font>
      <b/>
      <sz val="9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1"/>
      <color indexed="9"/>
      <name val="Trebuchet MS"/>
      <family val="2"/>
    </font>
    <font>
      <sz val="11"/>
      <color indexed="2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indexed="2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indexed="44"/>
      <name val="Trebuchet MS"/>
      <family val="2"/>
    </font>
    <font>
      <sz val="6"/>
      <name val="Trebuchet MS"/>
      <family val="2"/>
    </font>
    <font>
      <sz val="11"/>
      <color indexed="9"/>
      <name val="Trebuchet MS"/>
      <family val="2"/>
    </font>
    <font>
      <sz val="11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name val="Trebuchet MS"/>
      <family val="2"/>
    </font>
    <font>
      <b/>
      <i/>
      <sz val="11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2"/>
      <color indexed="56"/>
      <name val="Trebuchet MS"/>
      <family val="2"/>
    </font>
    <font>
      <b/>
      <sz val="11"/>
      <color indexed="20"/>
      <name val="Trebuchet MS"/>
      <family val="2"/>
    </font>
    <font>
      <b/>
      <sz val="11"/>
      <color indexed="30"/>
      <name val="Trebuchet MS"/>
      <family val="2"/>
    </font>
    <font>
      <b/>
      <i/>
      <sz val="12"/>
      <color indexed="18"/>
      <name val="Trebuchet MS"/>
      <family val="2"/>
    </font>
    <font>
      <b/>
      <sz val="12"/>
      <color indexed="18"/>
      <name val="Garamond"/>
      <family val="1"/>
    </font>
    <font>
      <sz val="12"/>
      <color indexed="18"/>
      <name val="Garamond"/>
      <family val="1"/>
    </font>
    <font>
      <sz val="11"/>
      <color indexed="18"/>
      <name val="Garamond"/>
      <family val="1"/>
    </font>
    <font>
      <b/>
      <sz val="10.5"/>
      <name val="Garamond"/>
      <family val="1"/>
    </font>
    <font>
      <b/>
      <i/>
      <sz val="9"/>
      <name val="Trebuchet MS"/>
      <family val="2"/>
    </font>
    <font>
      <b/>
      <i/>
      <sz val="11"/>
      <color indexed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.5"/>
      <color indexed="8"/>
      <name val="Garamond"/>
      <family val="0"/>
    </font>
    <font>
      <b/>
      <sz val="4.5"/>
      <color indexed="8"/>
      <name val="Trebuchet MS"/>
      <family val="0"/>
    </font>
    <font>
      <b/>
      <sz val="6"/>
      <color indexed="8"/>
      <name val="Trebuchet MS"/>
      <family val="0"/>
    </font>
    <font>
      <b/>
      <i/>
      <u val="single"/>
      <sz val="11.5"/>
      <color indexed="8"/>
      <name val="Trebuchet MS"/>
      <family val="0"/>
    </font>
    <font>
      <b/>
      <i/>
      <sz val="7.35"/>
      <color indexed="8"/>
      <name val="Trebuchet MS"/>
      <family val="0"/>
    </font>
    <font>
      <sz val="19"/>
      <color indexed="8"/>
      <name val="Garamond"/>
      <family val="0"/>
    </font>
    <font>
      <b/>
      <sz val="3.75"/>
      <color indexed="8"/>
      <name val="Trebuchet MS"/>
      <family val="0"/>
    </font>
    <font>
      <b/>
      <sz val="5"/>
      <color indexed="8"/>
      <name val="Trebuchet MS"/>
      <family val="0"/>
    </font>
    <font>
      <b/>
      <i/>
      <u val="single"/>
      <sz val="10.5"/>
      <color indexed="8"/>
      <name val="Trebuchet MS"/>
      <family val="0"/>
    </font>
    <font>
      <b/>
      <i/>
      <sz val="8.25"/>
      <color indexed="8"/>
      <name val="Trebuchet MS"/>
      <family val="0"/>
    </font>
    <font>
      <sz val="18.25"/>
      <color indexed="8"/>
      <name val="Garamond"/>
      <family val="0"/>
    </font>
    <font>
      <b/>
      <sz val="4.25"/>
      <color indexed="8"/>
      <name val="Trebuchet MS"/>
      <family val="0"/>
    </font>
    <font>
      <b/>
      <sz val="6.25"/>
      <color indexed="8"/>
      <name val="Trebuchet MS"/>
      <family val="0"/>
    </font>
    <font>
      <b/>
      <i/>
      <u val="single"/>
      <sz val="11"/>
      <color indexed="8"/>
      <name val="Trebuchet MS"/>
      <family val="0"/>
    </font>
    <font>
      <sz val="20.75"/>
      <color indexed="8"/>
      <name val="Garamond"/>
      <family val="0"/>
    </font>
    <font>
      <b/>
      <sz val="6.5"/>
      <color indexed="8"/>
      <name val="Trebuchet MS"/>
      <family val="0"/>
    </font>
    <font>
      <b/>
      <i/>
      <u val="single"/>
      <sz val="11.75"/>
      <color indexed="8"/>
      <name val="Trebuchet MS"/>
      <family val="0"/>
    </font>
    <font>
      <sz val="19.25"/>
      <color indexed="8"/>
      <name val="Garamond"/>
      <family val="0"/>
    </font>
    <font>
      <b/>
      <sz val="5.25"/>
      <color indexed="8"/>
      <name val="Trebuchet MS"/>
      <family val="0"/>
    </font>
    <font>
      <b/>
      <i/>
      <u val="single"/>
      <sz val="10.25"/>
      <color indexed="8"/>
      <name val="Trebuchet MS"/>
      <family val="0"/>
    </font>
    <font>
      <sz val="18.75"/>
      <color indexed="8"/>
      <name val="Garamond"/>
      <family val="0"/>
    </font>
    <font>
      <sz val="19.5"/>
      <color indexed="8"/>
      <name val="Garamond"/>
      <family val="0"/>
    </font>
    <font>
      <b/>
      <sz val="5.5"/>
      <color indexed="8"/>
      <name val="Trebuchet MS"/>
      <family val="0"/>
    </font>
    <font>
      <b/>
      <i/>
      <u val="single"/>
      <sz val="9.75"/>
      <color indexed="8"/>
      <name val="Trebuchet MS"/>
      <family val="0"/>
    </font>
    <font>
      <sz val="21.5"/>
      <color indexed="8"/>
      <name val="Garamond"/>
      <family val="0"/>
    </font>
    <font>
      <b/>
      <sz val="4.75"/>
      <color indexed="8"/>
      <name val="Trebuchet MS"/>
      <family val="0"/>
    </font>
    <font>
      <b/>
      <sz val="5.75"/>
      <color indexed="8"/>
      <name val="Trebuchet MS"/>
      <family val="0"/>
    </font>
    <font>
      <sz val="21.75"/>
      <color indexed="8"/>
      <name val="Garamond"/>
      <family val="0"/>
    </font>
    <font>
      <b/>
      <i/>
      <u val="single"/>
      <sz val="11.25"/>
      <color indexed="8"/>
      <name val="Trebuchet MS"/>
      <family val="0"/>
    </font>
    <font>
      <sz val="21"/>
      <color indexed="8"/>
      <name val="Garamond"/>
      <family val="0"/>
    </font>
    <font>
      <b/>
      <i/>
      <sz val="8"/>
      <color indexed="8"/>
      <name val="Trebuchet MS"/>
      <family val="0"/>
    </font>
    <font>
      <b/>
      <sz val="8"/>
      <color indexed="8"/>
      <name val="Trebuchet MS"/>
      <family val="0"/>
    </font>
    <font>
      <b/>
      <u val="single"/>
      <sz val="11"/>
      <color indexed="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slantDashDot"/>
      <right style="dotted"/>
      <top style="slantDashDot"/>
      <bottom>
        <color indexed="63"/>
      </bottom>
    </border>
    <border>
      <left style="dotted"/>
      <right style="slantDashDot"/>
      <top style="slantDashDot"/>
      <bottom>
        <color indexed="63"/>
      </bottom>
    </border>
    <border>
      <left style="slantDashDot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slantDashDot"/>
      <top>
        <color indexed="63"/>
      </top>
      <bottom>
        <color indexed="63"/>
      </bottom>
    </border>
    <border>
      <left style="slantDashDot"/>
      <right style="dotted"/>
      <top style="thin"/>
      <bottom style="slantDashDot"/>
    </border>
    <border>
      <left>
        <color indexed="63"/>
      </left>
      <right style="dotted"/>
      <top style="thin"/>
      <bottom style="slantDashDot"/>
    </border>
    <border>
      <left style="dotted"/>
      <right style="dotted"/>
      <top style="thin"/>
      <bottom style="slantDashDot"/>
    </border>
    <border>
      <left style="dotted"/>
      <right style="slantDashDot"/>
      <top style="thin"/>
      <bottom style="slantDashDot"/>
    </border>
    <border>
      <left style="slantDashDot"/>
      <right style="dotted"/>
      <top style="slantDashDot"/>
      <bottom style="slantDashDot"/>
    </border>
    <border>
      <left>
        <color indexed="63"/>
      </left>
      <right style="dotted"/>
      <top style="slantDashDot"/>
      <bottom style="slantDashDot"/>
    </border>
    <border>
      <left style="dotted"/>
      <right style="dotted"/>
      <top style="slantDashDot"/>
      <bottom style="slantDashDot"/>
    </border>
    <border>
      <left style="dotted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tted"/>
      <right>
        <color indexed="63"/>
      </right>
      <top style="thin"/>
      <bottom style="slantDashDot"/>
    </border>
    <border>
      <left style="dotted"/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thin"/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tted"/>
      <right style="slantDashDot"/>
      <top style="slantDashDot"/>
      <bottom style="slantDashDot"/>
    </border>
    <border>
      <left style="dotted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 style="slantDashDot"/>
      <right style="slantDashDot"/>
      <top style="thin"/>
      <bottom style="slantDashDot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tted"/>
      <right>
        <color indexed="63"/>
      </right>
      <top style="slantDashDot"/>
      <bottom>
        <color indexed="63"/>
      </bottom>
    </border>
    <border>
      <left>
        <color indexed="63"/>
      </left>
      <right style="dotted"/>
      <top style="slantDashDot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90" fillId="29" borderId="1" applyNumberFormat="0" applyAlignment="0" applyProtection="0"/>
    <xf numFmtId="0" fontId="9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3" fillId="21" borderId="5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89" fillId="0" borderId="8" applyNumberFormat="0" applyFill="0" applyAlignment="0" applyProtection="0"/>
    <xf numFmtId="0" fontId="99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9" fontId="4" fillId="0" borderId="0" xfId="0" applyNumberFormat="1" applyFont="1" applyAlignment="1">
      <alignment/>
    </xf>
    <xf numFmtId="4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10" fontId="2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4" fontId="2" fillId="0" borderId="22" xfId="0" applyNumberFormat="1" applyFont="1" applyBorder="1" applyAlignment="1">
      <alignment/>
    </xf>
    <xf numFmtId="17" fontId="8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7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11" fillId="0" borderId="29" xfId="0" applyFont="1" applyBorder="1" applyAlignment="1">
      <alignment/>
    </xf>
    <xf numFmtId="3" fontId="11" fillId="0" borderId="30" xfId="0" applyNumberFormat="1" applyFont="1" applyBorder="1" applyAlignment="1">
      <alignment/>
    </xf>
    <xf numFmtId="4" fontId="12" fillId="0" borderId="31" xfId="0" applyNumberFormat="1" applyFont="1" applyBorder="1" applyAlignment="1">
      <alignment/>
    </xf>
    <xf numFmtId="4" fontId="12" fillId="0" borderId="32" xfId="0" applyNumberFormat="1" applyFont="1" applyBorder="1" applyAlignment="1">
      <alignment/>
    </xf>
    <xf numFmtId="0" fontId="11" fillId="0" borderId="30" xfId="0" applyFont="1" applyBorder="1" applyAlignment="1">
      <alignment/>
    </xf>
    <xf numFmtId="4" fontId="4" fillId="0" borderId="31" xfId="0" applyNumberFormat="1" applyFont="1" applyBorder="1" applyAlignment="1">
      <alignment/>
    </xf>
    <xf numFmtId="4" fontId="12" fillId="0" borderId="30" xfId="0" applyNumberFormat="1" applyFont="1" applyBorder="1" applyAlignment="1">
      <alignment/>
    </xf>
    <xf numFmtId="0" fontId="3" fillId="0" borderId="33" xfId="0" applyFont="1" applyBorder="1" applyAlignment="1">
      <alignment/>
    </xf>
    <xf numFmtId="3" fontId="2" fillId="0" borderId="34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9" fontId="4" fillId="0" borderId="39" xfId="52" applyFont="1" applyBorder="1" applyAlignment="1">
      <alignment/>
    </xf>
    <xf numFmtId="9" fontId="4" fillId="0" borderId="39" xfId="52" applyNumberFormat="1" applyFont="1" applyBorder="1" applyAlignment="1">
      <alignment/>
    </xf>
    <xf numFmtId="9" fontId="4" fillId="0" borderId="40" xfId="52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9" fontId="4" fillId="0" borderId="0" xfId="52" applyFont="1" applyBorder="1" applyAlignment="1">
      <alignment/>
    </xf>
    <xf numFmtId="4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171" fontId="12" fillId="0" borderId="0" xfId="46" applyFont="1" applyAlignment="1">
      <alignment/>
    </xf>
    <xf numFmtId="17" fontId="10" fillId="0" borderId="0" xfId="0" applyNumberFormat="1" applyFont="1" applyAlignment="1">
      <alignment/>
    </xf>
    <xf numFmtId="3" fontId="12" fillId="0" borderId="3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3" fontId="11" fillId="0" borderId="3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17" fillId="0" borderId="0" xfId="0" applyFont="1" applyAlignment="1">
      <alignment/>
    </xf>
    <xf numFmtId="17" fontId="18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2" fillId="0" borderId="41" xfId="0" applyFont="1" applyBorder="1" applyAlignment="1">
      <alignment horizontal="center"/>
    </xf>
    <xf numFmtId="3" fontId="12" fillId="0" borderId="31" xfId="0" applyNumberFormat="1" applyFont="1" applyBorder="1" applyAlignment="1">
      <alignment/>
    </xf>
    <xf numFmtId="3" fontId="2" fillId="0" borderId="34" xfId="46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1" fillId="0" borderId="30" xfId="0" applyNumberFormat="1" applyFont="1" applyFill="1" applyBorder="1" applyAlignment="1">
      <alignment/>
    </xf>
    <xf numFmtId="4" fontId="12" fillId="0" borderId="31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4" fontId="12" fillId="0" borderId="30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4" fontId="11" fillId="0" borderId="32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2" fillId="0" borderId="29" xfId="0" applyFont="1" applyBorder="1" applyAlignment="1">
      <alignment/>
    </xf>
    <xf numFmtId="4" fontId="12" fillId="0" borderId="42" xfId="0" applyNumberFormat="1" applyFont="1" applyBorder="1" applyAlignment="1">
      <alignment/>
    </xf>
    <xf numFmtId="0" fontId="3" fillId="0" borderId="34" xfId="0" applyFont="1" applyBorder="1" applyAlignment="1">
      <alignment/>
    </xf>
    <xf numFmtId="9" fontId="4" fillId="0" borderId="35" xfId="52" applyFont="1" applyBorder="1" applyAlignment="1">
      <alignment/>
    </xf>
    <xf numFmtId="9" fontId="4" fillId="0" borderId="43" xfId="52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0" fontId="4" fillId="0" borderId="35" xfId="52" applyNumberFormat="1" applyFont="1" applyBorder="1" applyAlignment="1">
      <alignment/>
    </xf>
    <xf numFmtId="4" fontId="12" fillId="0" borderId="41" xfId="0" applyNumberFormat="1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3" fillId="0" borderId="34" xfId="0" applyNumberFormat="1" applyFont="1" applyBorder="1" applyAlignment="1">
      <alignment/>
    </xf>
    <xf numFmtId="3" fontId="11" fillId="0" borderId="31" xfId="0" applyNumberFormat="1" applyFont="1" applyFill="1" applyBorder="1" applyAlignment="1">
      <alignment/>
    </xf>
    <xf numFmtId="4" fontId="12" fillId="0" borderId="44" xfId="0" applyNumberFormat="1" applyFont="1" applyBorder="1" applyAlignment="1">
      <alignment/>
    </xf>
    <xf numFmtId="10" fontId="12" fillId="0" borderId="44" xfId="0" applyNumberFormat="1" applyFont="1" applyBorder="1" applyAlignment="1">
      <alignment/>
    </xf>
    <xf numFmtId="4" fontId="12" fillId="0" borderId="45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11" fillId="0" borderId="51" xfId="0" applyFont="1" applyBorder="1" applyAlignment="1">
      <alignment/>
    </xf>
    <xf numFmtId="4" fontId="12" fillId="0" borderId="52" xfId="0" applyNumberFormat="1" applyFont="1" applyBorder="1" applyAlignment="1">
      <alignment/>
    </xf>
    <xf numFmtId="4" fontId="12" fillId="0" borderId="53" xfId="0" applyNumberFormat="1" applyFont="1" applyBorder="1" applyAlignment="1">
      <alignment/>
    </xf>
    <xf numFmtId="0" fontId="3" fillId="0" borderId="54" xfId="0" applyFont="1" applyBorder="1" applyAlignment="1">
      <alignment/>
    </xf>
    <xf numFmtId="9" fontId="4" fillId="0" borderId="55" xfId="52" applyFont="1" applyBorder="1" applyAlignment="1">
      <alignment/>
    </xf>
    <xf numFmtId="9" fontId="4" fillId="0" borderId="56" xfId="52" applyFont="1" applyBorder="1" applyAlignment="1">
      <alignment/>
    </xf>
    <xf numFmtId="3" fontId="2" fillId="0" borderId="57" xfId="0" applyNumberFormat="1" applyFont="1" applyBorder="1" applyAlignment="1">
      <alignment/>
    </xf>
    <xf numFmtId="4" fontId="12" fillId="0" borderId="58" xfId="0" applyNumberFormat="1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17" fontId="20" fillId="0" borderId="0" xfId="0" applyNumberFormat="1" applyFont="1" applyFill="1" applyAlignment="1">
      <alignment horizontal="center"/>
    </xf>
    <xf numFmtId="17" fontId="21" fillId="0" borderId="0" xfId="0" applyNumberFormat="1" applyFont="1" applyAlignment="1">
      <alignment/>
    </xf>
    <xf numFmtId="0" fontId="2" fillId="0" borderId="63" xfId="0" applyFont="1" applyBorder="1" applyAlignment="1">
      <alignment horizontal="center"/>
    </xf>
    <xf numFmtId="17" fontId="20" fillId="0" borderId="0" xfId="0" applyNumberFormat="1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5" fillId="39" borderId="0" xfId="0" applyFont="1" applyFill="1" applyAlignment="1">
      <alignment horizontal="center"/>
    </xf>
    <xf numFmtId="4" fontId="12" fillId="0" borderId="64" xfId="0" applyNumberFormat="1" applyFont="1" applyBorder="1" applyAlignment="1">
      <alignment/>
    </xf>
    <xf numFmtId="4" fontId="12" fillId="0" borderId="65" xfId="0" applyNumberFormat="1" applyFont="1" applyBorder="1" applyAlignment="1">
      <alignment/>
    </xf>
    <xf numFmtId="4" fontId="12" fillId="0" borderId="66" xfId="0" applyNumberFormat="1" applyFont="1" applyBorder="1" applyAlignment="1">
      <alignment/>
    </xf>
    <xf numFmtId="10" fontId="4" fillId="0" borderId="39" xfId="52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0" fontId="4" fillId="0" borderId="67" xfId="52" applyNumberFormat="1" applyFont="1" applyBorder="1" applyAlignment="1">
      <alignment/>
    </xf>
    <xf numFmtId="9" fontId="4" fillId="0" borderId="68" xfId="52" applyFont="1" applyBorder="1" applyAlignment="1">
      <alignment/>
    </xf>
    <xf numFmtId="10" fontId="4" fillId="0" borderId="55" xfId="52" applyNumberFormat="1" applyFont="1" applyBorder="1" applyAlignment="1">
      <alignment/>
    </xf>
    <xf numFmtId="10" fontId="4" fillId="0" borderId="69" xfId="52" applyNumberFormat="1" applyFont="1" applyBorder="1" applyAlignment="1">
      <alignment/>
    </xf>
    <xf numFmtId="10" fontId="4" fillId="0" borderId="70" xfId="52" applyNumberFormat="1" applyFont="1" applyBorder="1" applyAlignment="1">
      <alignment/>
    </xf>
    <xf numFmtId="0" fontId="2" fillId="0" borderId="0" xfId="0" applyFont="1" applyAlignment="1">
      <alignment horizontal="right"/>
    </xf>
    <xf numFmtId="10" fontId="4" fillId="0" borderId="40" xfId="52" applyNumberFormat="1" applyFont="1" applyBorder="1" applyAlignment="1">
      <alignment/>
    </xf>
    <xf numFmtId="9" fontId="4" fillId="0" borderId="67" xfId="52" applyNumberFormat="1" applyFont="1" applyBorder="1" applyAlignment="1">
      <alignment/>
    </xf>
    <xf numFmtId="10" fontId="4" fillId="0" borderId="43" xfId="52" applyNumberFormat="1" applyFont="1" applyBorder="1" applyAlignment="1">
      <alignment/>
    </xf>
    <xf numFmtId="10" fontId="4" fillId="0" borderId="71" xfId="52" applyNumberFormat="1" applyFont="1" applyBorder="1" applyAlignment="1">
      <alignment/>
    </xf>
    <xf numFmtId="17" fontId="26" fillId="0" borderId="0" xfId="0" applyNumberFormat="1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4" fontId="12" fillId="0" borderId="72" xfId="0" applyNumberFormat="1" applyFont="1" applyBorder="1" applyAlignment="1">
      <alignment/>
    </xf>
    <xf numFmtId="0" fontId="2" fillId="41" borderId="73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2" fillId="41" borderId="74" xfId="0" applyFont="1" applyFill="1" applyBorder="1" applyAlignment="1">
      <alignment horizontal="center"/>
    </xf>
    <xf numFmtId="0" fontId="2" fillId="41" borderId="75" xfId="0" applyFont="1" applyFill="1" applyBorder="1" applyAlignment="1">
      <alignment horizontal="center"/>
    </xf>
    <xf numFmtId="0" fontId="30" fillId="42" borderId="76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9" fontId="4" fillId="0" borderId="40" xfId="52" applyNumberFormat="1" applyFont="1" applyBorder="1" applyAlignment="1">
      <alignment/>
    </xf>
    <xf numFmtId="9" fontId="4" fillId="0" borderId="69" xfId="52" applyNumberFormat="1" applyFont="1" applyBorder="1" applyAlignment="1">
      <alignment/>
    </xf>
    <xf numFmtId="9" fontId="4" fillId="0" borderId="35" xfId="52" applyNumberFormat="1" applyFont="1" applyBorder="1" applyAlignment="1">
      <alignment/>
    </xf>
    <xf numFmtId="0" fontId="31" fillId="0" borderId="0" xfId="0" applyFont="1" applyAlignment="1">
      <alignment/>
    </xf>
    <xf numFmtId="17" fontId="3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43" borderId="80" xfId="0" applyFont="1" applyFill="1" applyBorder="1" applyAlignment="1">
      <alignment horizontal="center"/>
    </xf>
    <xf numFmtId="0" fontId="2" fillId="43" borderId="81" xfId="0" applyFont="1" applyFill="1" applyBorder="1" applyAlignment="1">
      <alignment horizontal="center"/>
    </xf>
    <xf numFmtId="0" fontId="2" fillId="43" borderId="8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0.0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0.994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303049"/>
                </a:gs>
                <a:gs pos="50000">
                  <a:srgbClr val="666699"/>
                </a:gs>
                <a:gs pos="100000">
                  <a:srgbClr val="30304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INT!$A$47:$A$53</c:f>
              <c:numCache/>
            </c:numRef>
          </c:val>
        </c:ser>
        <c:ser>
          <c:idx val="1"/>
          <c:order val="1"/>
          <c:tx>
            <c:strRef>
              <c:f>INT!$B$46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82A2A2"/>
                </a:gs>
                <a:gs pos="50000">
                  <a:srgbClr val="CCFFFF"/>
                </a:gs>
                <a:gs pos="100000">
                  <a:srgbClr val="82A2A2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INT!$B$47:$B$53</c:f>
              <c:numCache/>
            </c:numRef>
          </c:val>
        </c:ser>
        <c:axId val="42472107"/>
        <c:axId val="46704644"/>
      </c:bar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1" i="0" u="none" baseline="0">
                <a:solidFill>
                  <a:srgbClr val="000000"/>
                </a:solidFill>
              </a:defRPr>
            </a:pPr>
          </a:p>
        </c:txPr>
        <c:crossAx val="46704644"/>
        <c:crosses val="autoZero"/>
        <c:auto val="1"/>
        <c:lblOffset val="100"/>
        <c:tickLblSkip val="1"/>
        <c:noMultiLvlLbl val="0"/>
      </c:catAx>
      <c:valAx>
        <c:axId val="46704644"/>
        <c:scaling>
          <c:orientation val="minMax"/>
          <c:max val="37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4247210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395"/>
          <c:w val="0.495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6125"/>
          <c:w val="0.981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CULTURA!$A$44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CULTURA!$C$45:$C$51</c:f>
              <c:strCache/>
            </c:strRef>
          </c:cat>
          <c:val>
            <c:numRef>
              <c:f>CULTURA!$A$45:$A$51</c:f>
              <c:numCache/>
            </c:numRef>
          </c:val>
        </c:ser>
        <c:ser>
          <c:idx val="1"/>
          <c:order val="1"/>
          <c:tx>
            <c:strRef>
              <c:f>CULTURA!$B$44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CULTURA!$C$45:$C$51</c:f>
              <c:strCache/>
            </c:strRef>
          </c:cat>
          <c:val>
            <c:numRef>
              <c:f>CULTURA!$B$45:$B$51</c:f>
              <c:numCache/>
            </c:numRef>
          </c:val>
        </c:ser>
        <c:axId val="13940853"/>
        <c:axId val="58358814"/>
      </c:barChart>
      <c:catAx>
        <c:axId val="1394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58358814"/>
        <c:crosses val="autoZero"/>
        <c:auto val="1"/>
        <c:lblOffset val="100"/>
        <c:tickLblSkip val="1"/>
        <c:noMultiLvlLbl val="0"/>
      </c:catAx>
      <c:valAx>
        <c:axId val="58358814"/>
        <c:scaling>
          <c:orientation val="minMax"/>
          <c:max val="29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13940853"/>
        <c:crossesAt val="1"/>
        <c:crossBetween val="between"/>
        <c:dispUnits/>
        <c:majorUnit val="2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3175"/>
          <c:w val="0.534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2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DEPORTES!$A$47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DEPORTES!$A$48:$A$54</c:f>
              <c:numCache/>
            </c:numRef>
          </c:val>
        </c:ser>
        <c:ser>
          <c:idx val="1"/>
          <c:order val="1"/>
          <c:tx>
            <c:strRef>
              <c:f>DEPORTES!$B$47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DEPORTES!$B$48:$B$54</c:f>
              <c:numCache/>
            </c:numRef>
          </c:val>
        </c:ser>
        <c:axId val="55467279"/>
        <c:axId val="29443464"/>
      </c:barChart>
      <c:catAx>
        <c:axId val="5546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1" i="0" u="none" baseline="0">
                <a:solidFill>
                  <a:srgbClr val="000000"/>
                </a:solidFill>
              </a:defRPr>
            </a:pPr>
          </a:p>
        </c:txPr>
        <c:crossAx val="29443464"/>
        <c:crosses val="autoZero"/>
        <c:auto val="1"/>
        <c:lblOffset val="100"/>
        <c:tickLblSkip val="1"/>
        <c:noMultiLvlLbl val="0"/>
      </c:catAx>
      <c:valAx>
        <c:axId val="29443464"/>
        <c:scaling>
          <c:orientation val="minMax"/>
          <c:max val="29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55467279"/>
        <c:crossesAt val="1"/>
        <c:crossBetween val="between"/>
        <c:dispUnits/>
        <c:majorUnit val="2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5"/>
          <c:y val="0.94525"/>
          <c:w val="0.5097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7375"/>
          <c:w val="0.9855"/>
          <c:h val="0.91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I'!$E$61:$E$71</c:f>
              <c:numCache/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I'!$F$61:$F$71</c:f>
              <c:numCache/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I'!$G$61:$G$71</c:f>
              <c:numCache/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I'!$H$61:$H$71</c:f>
              <c:numCache/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I'!$I$61:$I$71</c:f>
              <c:numCache/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I'!$J$61:$J$71</c:f>
              <c:numCache/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I'!$K$61:$K$71</c:f>
              <c:numCache/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I'!$L$61:$L$71</c:f>
              <c:numCache/>
            </c:numRef>
          </c:val>
          <c:shape val="cylinder"/>
        </c:ser>
        <c:overlap val="100"/>
        <c:shape val="cylinder"/>
        <c:axId val="63664585"/>
        <c:axId val="36110354"/>
      </c:bar3DChart>
      <c:catAx>
        <c:axId val="63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</a:defRPr>
            </a:pPr>
          </a:p>
        </c:txPr>
        <c:crossAx val="36110354"/>
        <c:crosses val="autoZero"/>
        <c:auto val="1"/>
        <c:lblOffset val="100"/>
        <c:tickLblSkip val="1"/>
        <c:noMultiLvlLbl val="0"/>
      </c:catAx>
      <c:valAx>
        <c:axId val="36110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36645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3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325"/>
          <c:w val="0.9837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GOB!$A$52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GOB!$C$53:$C$59</c:f>
              <c:strCache/>
            </c:strRef>
          </c:cat>
          <c:val>
            <c:numRef>
              <c:f>GOB!$A$53:$A$59</c:f>
              <c:numCache/>
            </c:numRef>
          </c:val>
        </c:ser>
        <c:ser>
          <c:idx val="1"/>
          <c:order val="1"/>
          <c:tx>
            <c:strRef>
              <c:f>GOB!$B$52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GOB!$C$53:$C$59</c:f>
              <c:strCache/>
            </c:strRef>
          </c:cat>
          <c:val>
            <c:numRef>
              <c:f>GOB!$B$53:$B$59</c:f>
              <c:numCache/>
            </c:numRef>
          </c:val>
        </c:ser>
        <c:axId val="17688613"/>
        <c:axId val="24979790"/>
      </c:barChart>
      <c:catAx>
        <c:axId val="1768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1" i="0" u="none" baseline="0">
                <a:solidFill>
                  <a:srgbClr val="000000"/>
                </a:solidFill>
              </a:defRPr>
            </a:pPr>
          </a:p>
        </c:txPr>
        <c:crossAx val="24979790"/>
        <c:crosses val="autoZero"/>
        <c:auto val="1"/>
        <c:lblOffset val="100"/>
        <c:tickLblSkip val="1"/>
        <c:noMultiLvlLbl val="0"/>
      </c:catAx>
      <c:valAx>
        <c:axId val="24979790"/>
        <c:scaling>
          <c:orientation val="minMax"/>
          <c:max val="96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1768861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5"/>
          <c:y val="0.935"/>
          <c:w val="0.527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0.994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SEH!$A$48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SEH!$A$49:$A$55</c:f>
              <c:numCache/>
            </c:numRef>
          </c:val>
        </c:ser>
        <c:ser>
          <c:idx val="1"/>
          <c:order val="1"/>
          <c:tx>
            <c:strRef>
              <c:f>SEH!$B$48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SEH!$B$49:$B$55</c:f>
              <c:numCache/>
            </c:numRef>
          </c:val>
        </c:ser>
        <c:axId val="23491519"/>
        <c:axId val="10097080"/>
      </c:barChart>
      <c:catAx>
        <c:axId val="2349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10097080"/>
        <c:crosses val="autoZero"/>
        <c:auto val="1"/>
        <c:lblOffset val="100"/>
        <c:tickLblSkip val="1"/>
        <c:noMultiLvlLbl val="0"/>
      </c:catAx>
      <c:valAx>
        <c:axId val="10097080"/>
        <c:scaling>
          <c:orientation val="minMax"/>
          <c:max val="8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1" i="0" u="none" baseline="0">
                <a:solidFill>
                  <a:srgbClr val="000000"/>
                </a:solidFill>
              </a:defRPr>
            </a:pPr>
          </a:p>
        </c:txPr>
        <c:crossAx val="23491519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5F5F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825"/>
          <c:y val="0.93825"/>
          <c:w val="0.48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967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SAS!$A$48:$A$54</c:f>
              <c:numCache/>
            </c:numRef>
          </c:val>
        </c:ser>
        <c:ser>
          <c:idx val="1"/>
          <c:order val="1"/>
          <c:tx>
            <c:strRef>
              <c:f>SAS!$B$47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SAS!$B$48:$B$54</c:f>
              <c:numCache/>
            </c:numRef>
          </c:val>
        </c:ser>
        <c:axId val="23764857"/>
        <c:axId val="12557122"/>
      </c:barChart>
      <c:catAx>
        <c:axId val="2376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12557122"/>
        <c:crosses val="autoZero"/>
        <c:auto val="1"/>
        <c:lblOffset val="100"/>
        <c:tickLblSkip val="1"/>
        <c:noMultiLvlLbl val="0"/>
      </c:catAx>
      <c:valAx>
        <c:axId val="12557122"/>
        <c:scaling>
          <c:orientation val="minMax"/>
          <c:max val="15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23764857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4025"/>
          <c:w val="0.531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3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SOP!$A$50:$A$56</c:f>
              <c:numCache/>
            </c:numRef>
          </c:val>
        </c:ser>
        <c:ser>
          <c:idx val="1"/>
          <c:order val="1"/>
          <c:tx>
            <c:strRef>
              <c:f>SOP!$B$49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SOP!$B$50:$B$56</c:f>
              <c:numCache/>
            </c:numRef>
          </c:val>
        </c:ser>
        <c:gapWidth val="100"/>
        <c:axId val="45905235"/>
        <c:axId val="10493932"/>
      </c:barChart>
      <c:catAx>
        <c:axId val="459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1" i="0" u="none" baseline="0">
                <a:solidFill>
                  <a:srgbClr val="000000"/>
                </a:solidFill>
              </a:defRPr>
            </a:pPr>
          </a:p>
        </c:txPr>
        <c:crossAx val="10493932"/>
        <c:crosses val="autoZero"/>
        <c:auto val="1"/>
        <c:lblOffset val="100"/>
        <c:tickLblSkip val="1"/>
        <c:noMultiLvlLbl val="0"/>
      </c:catAx>
      <c:valAx>
        <c:axId val="10493932"/>
        <c:scaling>
          <c:orientation val="minMax"/>
          <c:max val="28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1" i="0" u="none" baseline="0">
                <a:solidFill>
                  <a:srgbClr val="000000"/>
                </a:solidFill>
              </a:defRPr>
            </a:pPr>
          </a:p>
        </c:txPr>
        <c:crossAx val="45905235"/>
        <c:crossesAt val="1"/>
        <c:crossBetween val="between"/>
        <c:dispUnits/>
        <c:majorUnit val="200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385"/>
          <c:w val="0.549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4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SFOI!$A$45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F2F47"/>
                  </a:gs>
                  <a:gs pos="50000">
                    <a:srgbClr val="666699"/>
                  </a:gs>
                  <a:gs pos="100000">
                    <a:srgbClr val="2F2F47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SFOI!$C$46:$C$52</c:f>
              <c:strCache/>
            </c:strRef>
          </c:cat>
          <c:val>
            <c:numRef>
              <c:f>SFOI!$A$46:$A$52</c:f>
              <c:numCache/>
            </c:numRef>
          </c:val>
        </c:ser>
        <c:ser>
          <c:idx val="1"/>
          <c:order val="1"/>
          <c:tx>
            <c:strRef>
              <c:f>SFOI!$B$45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SFOI!$C$46:$C$52</c:f>
              <c:strCache/>
            </c:strRef>
          </c:cat>
          <c:val>
            <c:numRef>
              <c:f>SFOI!$B$46:$B$52</c:f>
              <c:numCache/>
            </c:numRef>
          </c:val>
        </c:ser>
        <c:axId val="27336525"/>
        <c:axId val="44702134"/>
      </c:barChart>
      <c:cat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44702134"/>
        <c:crosses val="autoZero"/>
        <c:auto val="1"/>
        <c:lblOffset val="100"/>
        <c:tickLblSkip val="1"/>
        <c:noMultiLvlLbl val="0"/>
      </c:catAx>
      <c:valAx>
        <c:axId val="44702134"/>
        <c:scaling>
          <c:orientation val="minMax"/>
          <c:max val="18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1" i="0" u="none" baseline="0">
                <a:solidFill>
                  <a:srgbClr val="000000"/>
                </a:solidFill>
              </a:defRPr>
            </a:pPr>
          </a:p>
        </c:txPr>
        <c:crossAx val="27336525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3425"/>
          <c:w val="0.464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985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'CD'!$A$44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'CD'!$C$45:$C$51</c:f>
              <c:strCache/>
            </c:strRef>
          </c:cat>
          <c:val>
            <c:numRef>
              <c:f>'CD'!$A$45:$A$51</c:f>
              <c:numCache/>
            </c:numRef>
          </c:val>
        </c:ser>
        <c:ser>
          <c:idx val="1"/>
          <c:order val="1"/>
          <c:tx>
            <c:strRef>
              <c:f>'CD'!$B$44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'CD'!$C$45:$C$51</c:f>
              <c:strCache/>
            </c:strRef>
          </c:cat>
          <c:val>
            <c:numRef>
              <c:f>'CD'!$B$45:$B$51</c:f>
              <c:numCache/>
            </c:numRef>
          </c:val>
        </c:ser>
        <c:axId val="66774887"/>
        <c:axId val="64103072"/>
      </c:bar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1" i="0" u="none" baseline="0">
                <a:solidFill>
                  <a:srgbClr val="000000"/>
                </a:solidFill>
              </a:defRPr>
            </a:pPr>
          </a:p>
        </c:txPr>
        <c:crossAx val="64103072"/>
        <c:crosses val="autoZero"/>
        <c:auto val="1"/>
        <c:lblOffset val="100"/>
        <c:tickLblSkip val="1"/>
        <c:noMultiLvlLbl val="0"/>
      </c:catAx>
      <c:valAx>
        <c:axId val="64103072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66774887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25"/>
          <c:y val="0.93325"/>
          <c:w val="0.523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75"/>
          <c:w val="0.9762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'CM'!$A$48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'CM'!$A$49:$A$53</c:f>
              <c:numCache/>
            </c:numRef>
          </c:val>
        </c:ser>
        <c:ser>
          <c:idx val="1"/>
          <c:order val="1"/>
          <c:tx>
            <c:strRef>
              <c:f>'CM'!$B$48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'CM'!$B$49:$B$53</c:f>
              <c:numCache/>
            </c:numRef>
          </c:val>
        </c:ser>
        <c:axId val="40056737"/>
        <c:axId val="24966314"/>
      </c:bar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24966314"/>
        <c:crosses val="autoZero"/>
        <c:auto val="1"/>
        <c:lblOffset val="100"/>
        <c:tickLblSkip val="1"/>
        <c:noMultiLvlLbl val="0"/>
      </c:catAx>
      <c:valAx>
        <c:axId val="24966314"/>
        <c:scaling>
          <c:orientation val="minMax"/>
          <c:max val="6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40056737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"/>
          <c:y val="0.922"/>
          <c:w val="0.622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3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SSP!$A$50:$A$56</c:f>
              <c:numCache/>
            </c:numRef>
          </c:val>
        </c:ser>
        <c:ser>
          <c:idx val="1"/>
          <c:order val="1"/>
          <c:tx>
            <c:strRef>
              <c:f>SSP!$B$49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SSP!$B$50:$B$56</c:f>
              <c:numCache/>
            </c:numRef>
          </c:val>
        </c:ser>
        <c:axId val="23370235"/>
        <c:axId val="9005524"/>
      </c:barChart>
      <c:cat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1" i="0" u="none" baseline="0">
                <a:solidFill>
                  <a:srgbClr val="000000"/>
                </a:solidFill>
              </a:defRPr>
            </a:pPr>
          </a:p>
        </c:txPr>
        <c:crossAx val="9005524"/>
        <c:crosses val="autoZero"/>
        <c:auto val="1"/>
        <c:lblOffset val="100"/>
        <c:tickLblSkip val="1"/>
        <c:noMultiLvlLbl val="0"/>
      </c:catAx>
      <c:valAx>
        <c:axId val="9005524"/>
        <c:scaling>
          <c:orientation val="minMax"/>
          <c:max val="29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</a:defRPr>
            </a:pPr>
          </a:p>
        </c:txPr>
        <c:crossAx val="23370235"/>
        <c:crossesAt val="1"/>
        <c:crossBetween val="between"/>
        <c:dispUnits/>
        <c:majorUnit val="2000000"/>
        <c:minorUnit val="58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75"/>
          <c:y val="0.937"/>
          <c:w val="0.530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14</xdr:row>
      <xdr:rowOff>180975</xdr:rowOff>
    </xdr:from>
    <xdr:to>
      <xdr:col>12</xdr:col>
      <xdr:colOff>571500</xdr:colOff>
      <xdr:row>31</xdr:row>
      <xdr:rowOff>9525</xdr:rowOff>
    </xdr:to>
    <xdr:graphicFrame>
      <xdr:nvGraphicFramePr>
        <xdr:cNvPr id="1" name="Gráfico 1"/>
        <xdr:cNvGraphicFramePr/>
      </xdr:nvGraphicFramePr>
      <xdr:xfrm>
        <a:off x="2085975" y="3171825"/>
        <a:ext cx="63722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11</xdr:row>
      <xdr:rowOff>57150</xdr:rowOff>
    </xdr:from>
    <xdr:to>
      <xdr:col>13</xdr:col>
      <xdr:colOff>409575</xdr:colOff>
      <xdr:row>25</xdr:row>
      <xdr:rowOff>133350</xdr:rowOff>
    </xdr:to>
    <xdr:graphicFrame>
      <xdr:nvGraphicFramePr>
        <xdr:cNvPr id="1" name="Gráfico 1"/>
        <xdr:cNvGraphicFramePr/>
      </xdr:nvGraphicFramePr>
      <xdr:xfrm>
        <a:off x="2466975" y="2457450"/>
        <a:ext cx="63436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19050</xdr:rowOff>
    </xdr:from>
    <xdr:to>
      <xdr:col>12</xdr:col>
      <xdr:colOff>561975</xdr:colOff>
      <xdr:row>32</xdr:row>
      <xdr:rowOff>28575</xdr:rowOff>
    </xdr:to>
    <xdr:graphicFrame>
      <xdr:nvGraphicFramePr>
        <xdr:cNvPr id="1" name="Gráfico 1"/>
        <xdr:cNvGraphicFramePr/>
      </xdr:nvGraphicFramePr>
      <xdr:xfrm>
        <a:off x="1876425" y="2714625"/>
        <a:ext cx="64389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9</xdr:col>
      <xdr:colOff>276225</xdr:colOff>
      <xdr:row>33</xdr:row>
      <xdr:rowOff>142875</xdr:rowOff>
    </xdr:to>
    <xdr:graphicFrame>
      <xdr:nvGraphicFramePr>
        <xdr:cNvPr id="1" name="Gráfico 2"/>
        <xdr:cNvGraphicFramePr/>
      </xdr:nvGraphicFramePr>
      <xdr:xfrm>
        <a:off x="314325" y="3867150"/>
        <a:ext cx="78390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20</xdr:row>
      <xdr:rowOff>104775</xdr:rowOff>
    </xdr:from>
    <xdr:to>
      <xdr:col>12</xdr:col>
      <xdr:colOff>114300</xdr:colOff>
      <xdr:row>35</xdr:row>
      <xdr:rowOff>104775</xdr:rowOff>
    </xdr:to>
    <xdr:graphicFrame>
      <xdr:nvGraphicFramePr>
        <xdr:cNvPr id="1" name="Gráfico 1"/>
        <xdr:cNvGraphicFramePr/>
      </xdr:nvGraphicFramePr>
      <xdr:xfrm>
        <a:off x="1771650" y="4248150"/>
        <a:ext cx="64484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152400</xdr:rowOff>
    </xdr:from>
    <xdr:to>
      <xdr:col>13</xdr:col>
      <xdr:colOff>352425</xdr:colOff>
      <xdr:row>31</xdr:row>
      <xdr:rowOff>28575</xdr:rowOff>
    </xdr:to>
    <xdr:graphicFrame>
      <xdr:nvGraphicFramePr>
        <xdr:cNvPr id="1" name="Gráfico 1"/>
        <xdr:cNvGraphicFramePr/>
      </xdr:nvGraphicFramePr>
      <xdr:xfrm>
        <a:off x="2143125" y="3609975"/>
        <a:ext cx="6572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15</xdr:row>
      <xdr:rowOff>142875</xdr:rowOff>
    </xdr:from>
    <xdr:to>
      <xdr:col>12</xdr:col>
      <xdr:colOff>371475</xdr:colOff>
      <xdr:row>32</xdr:row>
      <xdr:rowOff>38100</xdr:rowOff>
    </xdr:to>
    <xdr:graphicFrame>
      <xdr:nvGraphicFramePr>
        <xdr:cNvPr id="1" name="Gráfico 1"/>
        <xdr:cNvGraphicFramePr/>
      </xdr:nvGraphicFramePr>
      <xdr:xfrm>
        <a:off x="2181225" y="3219450"/>
        <a:ext cx="62388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15</xdr:row>
      <xdr:rowOff>171450</xdr:rowOff>
    </xdr:from>
    <xdr:to>
      <xdr:col>12</xdr:col>
      <xdr:colOff>581025</xdr:colOff>
      <xdr:row>31</xdr:row>
      <xdr:rowOff>19050</xdr:rowOff>
    </xdr:to>
    <xdr:graphicFrame>
      <xdr:nvGraphicFramePr>
        <xdr:cNvPr id="1" name="Gráfico 1"/>
        <xdr:cNvGraphicFramePr/>
      </xdr:nvGraphicFramePr>
      <xdr:xfrm>
        <a:off x="2000250" y="3352800"/>
        <a:ext cx="62769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15</xdr:row>
      <xdr:rowOff>47625</xdr:rowOff>
    </xdr:from>
    <xdr:to>
      <xdr:col>12</xdr:col>
      <xdr:colOff>352425</xdr:colOff>
      <xdr:row>30</xdr:row>
      <xdr:rowOff>28575</xdr:rowOff>
    </xdr:to>
    <xdr:graphicFrame>
      <xdr:nvGraphicFramePr>
        <xdr:cNvPr id="1" name="Gráfico 1"/>
        <xdr:cNvGraphicFramePr/>
      </xdr:nvGraphicFramePr>
      <xdr:xfrm>
        <a:off x="2286000" y="3190875"/>
        <a:ext cx="60102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12</xdr:col>
      <xdr:colOff>400050</xdr:colOff>
      <xdr:row>29</xdr:row>
      <xdr:rowOff>66675</xdr:rowOff>
    </xdr:to>
    <xdr:graphicFrame>
      <xdr:nvGraphicFramePr>
        <xdr:cNvPr id="1" name="Gráfico 1"/>
        <xdr:cNvGraphicFramePr/>
      </xdr:nvGraphicFramePr>
      <xdr:xfrm>
        <a:off x="2114550" y="2914650"/>
        <a:ext cx="60769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12</xdr:col>
      <xdr:colOff>28575</xdr:colOff>
      <xdr:row>29</xdr:row>
      <xdr:rowOff>85725</xdr:rowOff>
    </xdr:to>
    <xdr:graphicFrame>
      <xdr:nvGraphicFramePr>
        <xdr:cNvPr id="1" name="Gráfico 1"/>
        <xdr:cNvGraphicFramePr/>
      </xdr:nvGraphicFramePr>
      <xdr:xfrm>
        <a:off x="1419225" y="3200400"/>
        <a:ext cx="56388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15</xdr:row>
      <xdr:rowOff>19050</xdr:rowOff>
    </xdr:from>
    <xdr:to>
      <xdr:col>12</xdr:col>
      <xdr:colOff>542925</xdr:colOff>
      <xdr:row>32</xdr:row>
      <xdr:rowOff>19050</xdr:rowOff>
    </xdr:to>
    <xdr:graphicFrame>
      <xdr:nvGraphicFramePr>
        <xdr:cNvPr id="1" name="Gráfico 1"/>
        <xdr:cNvGraphicFramePr/>
      </xdr:nvGraphicFramePr>
      <xdr:xfrm>
        <a:off x="1866900" y="3152775"/>
        <a:ext cx="67627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zoomScalePageLayoutView="0" workbookViewId="0" topLeftCell="A1">
      <selection activeCell="O20" sqref="O20"/>
    </sheetView>
  </sheetViews>
  <sheetFormatPr defaultColWidth="11.421875" defaultRowHeight="15"/>
  <cols>
    <col min="1" max="1" width="16.57421875" style="1" customWidth="1"/>
    <col min="2" max="2" width="9.140625" style="1" customWidth="1"/>
    <col min="3" max="3" width="10.7109375" style="1" customWidth="1"/>
    <col min="4" max="4" width="7.57421875" style="1" customWidth="1"/>
    <col min="5" max="5" width="9.28125" style="1" customWidth="1"/>
    <col min="6" max="6" width="9.57421875" style="1" customWidth="1"/>
    <col min="7" max="7" width="10.140625" style="1" customWidth="1"/>
    <col min="8" max="8" width="8.421875" style="1" customWidth="1"/>
    <col min="9" max="9" width="10.140625" style="1" customWidth="1"/>
    <col min="10" max="10" width="9.28125" style="1" customWidth="1"/>
    <col min="11" max="11" width="9.421875" style="1" customWidth="1"/>
    <col min="12" max="12" width="8.00390625" style="1" customWidth="1"/>
    <col min="13" max="13" width="10.00390625" style="1" customWidth="1"/>
    <col min="14" max="14" width="8.8515625" style="1" customWidth="1"/>
    <col min="15" max="15" width="10.28125" style="1" customWidth="1"/>
    <col min="16" max="16" width="11.421875" style="1" customWidth="1"/>
    <col min="17" max="17" width="13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44" t="s">
        <v>0</v>
      </c>
      <c r="B2" s="168" t="s">
        <v>103</v>
      </c>
      <c r="C2" s="168"/>
      <c r="D2" s="169"/>
      <c r="E2" s="169"/>
      <c r="L2" s="167" t="s">
        <v>23</v>
      </c>
      <c r="M2" s="167"/>
      <c r="N2" s="149">
        <v>41275</v>
      </c>
      <c r="O2" s="22"/>
    </row>
    <row r="3" spans="2:5" ht="16.5">
      <c r="B3" s="170"/>
      <c r="C3" s="170"/>
      <c r="E3" s="21"/>
    </row>
    <row r="4" spans="3:5" ht="17.25" thickBot="1">
      <c r="C4" s="23"/>
      <c r="D4" s="23"/>
      <c r="E4" s="21"/>
    </row>
    <row r="5" spans="1:17" ht="18" thickTop="1">
      <c r="A5" s="103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32</v>
      </c>
      <c r="K5" s="172"/>
      <c r="L5" s="104" t="s">
        <v>87</v>
      </c>
      <c r="M5" s="105"/>
      <c r="N5" s="171" t="s">
        <v>33</v>
      </c>
      <c r="O5" s="172"/>
      <c r="P5" s="106" t="s">
        <v>5</v>
      </c>
      <c r="Q5" s="116" t="s">
        <v>38</v>
      </c>
    </row>
    <row r="6" spans="1:17" ht="17.25">
      <c r="A6" s="107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2" t="s">
        <v>25</v>
      </c>
      <c r="Q6" s="117" t="s">
        <v>39</v>
      </c>
    </row>
    <row r="7" spans="1:18" ht="17.25">
      <c r="A7" s="108" t="s">
        <v>14</v>
      </c>
      <c r="B7" s="31">
        <v>751626</v>
      </c>
      <c r="C7" s="32">
        <f>54073.03+7236.29</f>
        <v>61309.32</v>
      </c>
      <c r="D7" s="31">
        <v>50500</v>
      </c>
      <c r="E7" s="32">
        <v>959.68</v>
      </c>
      <c r="F7" s="31">
        <v>627700</v>
      </c>
      <c r="G7" s="32">
        <f>7860+6060</f>
        <v>13920</v>
      </c>
      <c r="H7" s="31">
        <v>172635</v>
      </c>
      <c r="I7" s="32">
        <f>9428.12+11714.53</f>
        <v>21142.65</v>
      </c>
      <c r="J7" s="31">
        <v>14500</v>
      </c>
      <c r="K7" s="32">
        <v>0</v>
      </c>
      <c r="L7" s="31">
        <v>0</v>
      </c>
      <c r="M7" s="32">
        <v>4750</v>
      </c>
      <c r="N7" s="31">
        <v>700000</v>
      </c>
      <c r="O7" s="32">
        <v>73795.13</v>
      </c>
      <c r="P7" s="109">
        <f>+O7+K7+I7+G7+E7+C7+M7</f>
        <v>175876.78</v>
      </c>
      <c r="Q7" s="134">
        <f>+B7+D7+F7+H7+J7+N7+L7-P7</f>
        <v>2141084.22</v>
      </c>
      <c r="R7" s="5"/>
    </row>
    <row r="8" spans="1:17" ht="17.25">
      <c r="A8" s="108" t="s">
        <v>99</v>
      </c>
      <c r="B8" s="31">
        <v>1531124</v>
      </c>
      <c r="C8" s="32">
        <v>77912.07</v>
      </c>
      <c r="D8" s="31">
        <v>9000</v>
      </c>
      <c r="E8" s="32">
        <v>0</v>
      </c>
      <c r="F8" s="31">
        <v>24500</v>
      </c>
      <c r="G8" s="32">
        <v>1351.56</v>
      </c>
      <c r="H8" s="31">
        <v>180000</v>
      </c>
      <c r="I8" s="32">
        <v>6385.29</v>
      </c>
      <c r="J8" s="31">
        <v>0</v>
      </c>
      <c r="K8" s="32">
        <v>0</v>
      </c>
      <c r="L8" s="31">
        <v>0</v>
      </c>
      <c r="M8" s="32">
        <v>0</v>
      </c>
      <c r="N8" s="34">
        <v>0</v>
      </c>
      <c r="O8" s="32">
        <v>67995.62</v>
      </c>
      <c r="P8" s="109">
        <f>+O8+K8+I8+G8+E8+C8</f>
        <v>153644.53999999998</v>
      </c>
      <c r="Q8" s="135">
        <f>+B8+D8+F8+H8+J8+N8-P8</f>
        <v>1590979.46</v>
      </c>
    </row>
    <row r="9" spans="1:17" ht="17.25">
      <c r="A9" s="108" t="s">
        <v>98</v>
      </c>
      <c r="B9" s="31">
        <v>1363040</v>
      </c>
      <c r="C9" s="32">
        <f>99609.39+3558.12</f>
        <v>103167.51</v>
      </c>
      <c r="D9" s="31">
        <v>41807</v>
      </c>
      <c r="E9" s="32">
        <v>0</v>
      </c>
      <c r="F9" s="31">
        <v>385571</v>
      </c>
      <c r="G9" s="32">
        <f>1800+1200</f>
        <v>3000</v>
      </c>
      <c r="H9" s="31">
        <v>463226</v>
      </c>
      <c r="I9" s="32">
        <v>0</v>
      </c>
      <c r="J9" s="31">
        <v>109328</v>
      </c>
      <c r="K9" s="32">
        <v>0</v>
      </c>
      <c r="L9" s="31">
        <v>13120</v>
      </c>
      <c r="M9" s="36">
        <v>0</v>
      </c>
      <c r="N9" s="31">
        <v>0</v>
      </c>
      <c r="O9" s="32">
        <v>69344.66</v>
      </c>
      <c r="P9" s="109">
        <f>+O9+K9+I9+G9+E9+C9+M9</f>
        <v>175512.16999999998</v>
      </c>
      <c r="Q9" s="135">
        <f>+B9+D9+F9+H9+J9+N9-P9+L9</f>
        <v>2200579.83</v>
      </c>
    </row>
    <row r="10" spans="1:17" ht="17.25">
      <c r="A10" s="108" t="s">
        <v>127</v>
      </c>
      <c r="B10" s="31">
        <v>0</v>
      </c>
      <c r="C10" s="32">
        <v>0</v>
      </c>
      <c r="D10" s="31">
        <v>18500</v>
      </c>
      <c r="E10" s="32">
        <v>0</v>
      </c>
      <c r="F10" s="31">
        <v>333000</v>
      </c>
      <c r="G10" s="32">
        <v>1750</v>
      </c>
      <c r="H10" s="31">
        <v>50000</v>
      </c>
      <c r="I10" s="32">
        <v>0</v>
      </c>
      <c r="J10" s="31">
        <f>7000+2803450</f>
        <v>2810450</v>
      </c>
      <c r="K10" s="32">
        <v>0</v>
      </c>
      <c r="L10" s="31">
        <v>250000</v>
      </c>
      <c r="M10" s="36">
        <v>0</v>
      </c>
      <c r="N10" s="31">
        <v>0</v>
      </c>
      <c r="O10" s="32">
        <v>0</v>
      </c>
      <c r="P10" s="109">
        <f>+O10+K10+I10+G10+E10+C10+M10</f>
        <v>1750</v>
      </c>
      <c r="Q10" s="135">
        <f>+B10+D10+F10+H10+J10+N10-P10+L10</f>
        <v>3460200</v>
      </c>
    </row>
    <row r="11" spans="1:17" ht="9" customHeight="1">
      <c r="A11" s="108"/>
      <c r="B11" s="31"/>
      <c r="C11" s="32"/>
      <c r="D11" s="31"/>
      <c r="E11" s="32"/>
      <c r="F11" s="31"/>
      <c r="G11" s="32"/>
      <c r="H11" s="31"/>
      <c r="I11" s="32"/>
      <c r="J11" s="31"/>
      <c r="K11" s="32"/>
      <c r="L11" s="31"/>
      <c r="M11" s="36"/>
      <c r="N11" s="31"/>
      <c r="O11" s="32"/>
      <c r="P11" s="109"/>
      <c r="Q11" s="135"/>
    </row>
    <row r="12" spans="1:17" ht="18" thickBot="1">
      <c r="A12" s="118" t="s">
        <v>11</v>
      </c>
      <c r="B12" s="114">
        <f aca="true" t="shared" si="0" ref="B12:Q12">SUM(B7:B10)</f>
        <v>3645790</v>
      </c>
      <c r="C12" s="115">
        <f t="shared" si="0"/>
        <v>242388.90000000002</v>
      </c>
      <c r="D12" s="114">
        <f t="shared" si="0"/>
        <v>119807</v>
      </c>
      <c r="E12" s="115">
        <f t="shared" si="0"/>
        <v>959.68</v>
      </c>
      <c r="F12" s="114">
        <f t="shared" si="0"/>
        <v>1370771</v>
      </c>
      <c r="G12" s="115">
        <f t="shared" si="0"/>
        <v>20021.559999999998</v>
      </c>
      <c r="H12" s="114">
        <f t="shared" si="0"/>
        <v>865861</v>
      </c>
      <c r="I12" s="115">
        <f t="shared" si="0"/>
        <v>27527.940000000002</v>
      </c>
      <c r="J12" s="114">
        <f t="shared" si="0"/>
        <v>2934278</v>
      </c>
      <c r="K12" s="115">
        <f t="shared" si="0"/>
        <v>0</v>
      </c>
      <c r="L12" s="114">
        <f t="shared" si="0"/>
        <v>263120</v>
      </c>
      <c r="M12" s="115">
        <f t="shared" si="0"/>
        <v>4750</v>
      </c>
      <c r="N12" s="114">
        <f t="shared" si="0"/>
        <v>700000</v>
      </c>
      <c r="O12" s="115">
        <f t="shared" si="0"/>
        <v>211135.41</v>
      </c>
      <c r="P12" s="110">
        <f t="shared" si="0"/>
        <v>506783.48999999993</v>
      </c>
      <c r="Q12" s="136">
        <f t="shared" si="0"/>
        <v>9392843.51</v>
      </c>
    </row>
    <row r="13" spans="1:17" ht="18.75" thickBot="1" thickTop="1">
      <c r="A13" s="119" t="s">
        <v>30</v>
      </c>
      <c r="B13" s="111"/>
      <c r="C13" s="141">
        <f>+C12/B12</f>
        <v>0.06648460278842172</v>
      </c>
      <c r="D13" s="112"/>
      <c r="E13" s="141">
        <f>+E12/D12</f>
        <v>0.008010216431427212</v>
      </c>
      <c r="F13" s="112"/>
      <c r="G13" s="141">
        <f>+G12/F12</f>
        <v>0.014606057466929194</v>
      </c>
      <c r="H13" s="112"/>
      <c r="I13" s="141">
        <f>+I12/H12</f>
        <v>0.03179256254756826</v>
      </c>
      <c r="J13" s="112"/>
      <c r="K13" s="163">
        <f>+K12/J12</f>
        <v>0</v>
      </c>
      <c r="L13" s="140"/>
      <c r="M13" s="142">
        <f>+M12/L12</f>
        <v>0.018052599574338704</v>
      </c>
      <c r="N13" s="113"/>
      <c r="O13" s="143">
        <f>+O12/N12</f>
        <v>0.3016220142857143</v>
      </c>
      <c r="P13" s="47"/>
      <c r="Q13" s="5"/>
    </row>
    <row r="14" spans="1:17" ht="17.25" thickTop="1">
      <c r="A14" s="48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  <c r="Q14" s="5"/>
    </row>
    <row r="15" ht="16.5">
      <c r="P15" s="5"/>
    </row>
    <row r="37" spans="1:6" ht="16.5">
      <c r="A37" s="52"/>
      <c r="B37" s="52"/>
      <c r="C37" s="52"/>
      <c r="D37" s="52"/>
      <c r="E37" s="52"/>
      <c r="F37" s="52"/>
    </row>
    <row r="39" spans="3:11" ht="16.5">
      <c r="C39" s="51"/>
      <c r="D39" s="5"/>
      <c r="E39" s="52"/>
      <c r="F39" s="52"/>
      <c r="K39" s="1" t="s">
        <v>85</v>
      </c>
    </row>
    <row r="40" spans="3:6" ht="16.5">
      <c r="C40" s="5"/>
      <c r="D40" s="5"/>
      <c r="E40" s="52"/>
      <c r="F40" s="52"/>
    </row>
    <row r="41" spans="3:6" ht="16.5">
      <c r="C41" s="5"/>
      <c r="D41" s="5"/>
      <c r="E41" s="52"/>
      <c r="F41" s="52"/>
    </row>
    <row r="42" spans="3:6" ht="16.5">
      <c r="C42" s="5"/>
      <c r="D42" s="5"/>
      <c r="E42" s="52"/>
      <c r="F42" s="52"/>
    </row>
    <row r="43" spans="3:6" ht="16.5">
      <c r="C43" s="5"/>
      <c r="D43" s="5"/>
      <c r="E43" s="52"/>
      <c r="F43" s="52"/>
    </row>
    <row r="44" spans="3:6" ht="16.5">
      <c r="C44" s="5"/>
      <c r="D44" s="5"/>
      <c r="E44" s="52"/>
      <c r="F44" s="52"/>
    </row>
    <row r="46" spans="1:3" ht="17.25">
      <c r="A46" s="20" t="s">
        <v>26</v>
      </c>
      <c r="B46" s="53" t="s">
        <v>27</v>
      </c>
      <c r="C46" s="20" t="s">
        <v>28</v>
      </c>
    </row>
    <row r="47" spans="1:3" ht="17.25">
      <c r="A47" s="54">
        <f>+B12</f>
        <v>3645790</v>
      </c>
      <c r="B47" s="51">
        <f>+C12</f>
        <v>242388.90000000002</v>
      </c>
      <c r="C47" s="20" t="s">
        <v>1</v>
      </c>
    </row>
    <row r="48" spans="1:3" ht="17.25">
      <c r="A48" s="54">
        <f>+D12</f>
        <v>119807</v>
      </c>
      <c r="B48" s="51">
        <f>+E12</f>
        <v>959.68</v>
      </c>
      <c r="C48" s="20" t="s">
        <v>2</v>
      </c>
    </row>
    <row r="49" spans="1:3" ht="17.25">
      <c r="A49" s="54">
        <f>+F12</f>
        <v>1370771</v>
      </c>
      <c r="B49" s="51">
        <f>+G12</f>
        <v>20021.559999999998</v>
      </c>
      <c r="C49" s="20" t="s">
        <v>3</v>
      </c>
    </row>
    <row r="50" spans="1:3" ht="17.25">
      <c r="A50" s="54">
        <f>+H12</f>
        <v>865861</v>
      </c>
      <c r="B50" s="51">
        <f>+I12</f>
        <v>27527.940000000002</v>
      </c>
      <c r="C50" s="20" t="s">
        <v>34</v>
      </c>
    </row>
    <row r="51" spans="1:3" ht="17.25">
      <c r="A51" s="54">
        <f>+J12</f>
        <v>2934278</v>
      </c>
      <c r="B51" s="51">
        <f>+K12</f>
        <v>0</v>
      </c>
      <c r="C51" s="20" t="s">
        <v>32</v>
      </c>
    </row>
    <row r="52" spans="1:3" ht="17.25">
      <c r="A52" s="54">
        <f>+L12</f>
        <v>263120</v>
      </c>
      <c r="B52" s="51">
        <f>+M12</f>
        <v>4750</v>
      </c>
      <c r="C52" s="20" t="s">
        <v>95</v>
      </c>
    </row>
    <row r="53" spans="1:3" ht="17.25">
      <c r="A53" s="54">
        <f>+N12</f>
        <v>700000</v>
      </c>
      <c r="B53" s="51">
        <f>+O12</f>
        <v>211135.41</v>
      </c>
      <c r="C53" s="20" t="s">
        <v>35</v>
      </c>
    </row>
    <row r="55" spans="1:2" ht="16.5">
      <c r="A55" s="54"/>
      <c r="B55" s="51"/>
    </row>
  </sheetData>
  <sheetProtection/>
  <mergeCells count="9">
    <mergeCell ref="L2:M2"/>
    <mergeCell ref="B2:E2"/>
    <mergeCell ref="B3:C3"/>
    <mergeCell ref="N5:O5"/>
    <mergeCell ref="J5:K5"/>
    <mergeCell ref="B5:C5"/>
    <mergeCell ref="D5:E5"/>
    <mergeCell ref="F5:G5"/>
    <mergeCell ref="H5:I5"/>
  </mergeCells>
  <printOptions/>
  <pageMargins left="0.85" right="0.59" top="0.7480314960629921" bottom="1" header="0.34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53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8.7109375" style="1" customWidth="1"/>
    <col min="2" max="2" width="9.28125" style="1" customWidth="1"/>
    <col min="3" max="3" width="10.28125" style="1" customWidth="1"/>
    <col min="4" max="4" width="7.140625" style="1" customWidth="1"/>
    <col min="5" max="6" width="9.140625" style="1" customWidth="1"/>
    <col min="7" max="7" width="10.140625" style="1" customWidth="1"/>
    <col min="8" max="8" width="7.8515625" style="1" customWidth="1"/>
    <col min="9" max="9" width="9.57421875" style="1" customWidth="1"/>
    <col min="10" max="10" width="7.421875" style="1" customWidth="1"/>
    <col min="11" max="11" width="9.7109375" style="1" customWidth="1"/>
    <col min="12" max="12" width="7.57421875" style="1" customWidth="1"/>
    <col min="13" max="13" width="10.00390625" style="1" customWidth="1"/>
    <col min="14" max="14" width="7.57421875" style="1" customWidth="1"/>
    <col min="15" max="15" width="10.28125" style="1" customWidth="1"/>
    <col min="16" max="16" width="10.8515625" style="1" customWidth="1"/>
    <col min="17" max="17" width="12.00390625" style="1" customWidth="1"/>
    <col min="18" max="18" width="11.8515625" style="1" bestFit="1" customWidth="1"/>
    <col min="19" max="16384" width="11.421875" style="1" customWidth="1"/>
  </cols>
  <sheetData>
    <row r="2" spans="1:15" ht="18">
      <c r="A2" s="144" t="s">
        <v>0</v>
      </c>
      <c r="B2" s="168" t="s">
        <v>117</v>
      </c>
      <c r="C2" s="185"/>
      <c r="D2" s="185"/>
      <c r="E2" s="186"/>
      <c r="F2" s="186"/>
      <c r="G2" s="181"/>
      <c r="K2" s="187" t="s">
        <v>23</v>
      </c>
      <c r="L2" s="187"/>
      <c r="M2" s="149">
        <v>41275</v>
      </c>
      <c r="O2" s="55"/>
    </row>
    <row r="3" spans="2:4" ht="16.5">
      <c r="B3" s="183"/>
      <c r="C3" s="184"/>
      <c r="D3" s="184"/>
    </row>
    <row r="4" ht="17.25" thickBot="1"/>
    <row r="5" spans="1:17" ht="17.25">
      <c r="A5" s="24"/>
      <c r="B5" s="175" t="s">
        <v>1</v>
      </c>
      <c r="C5" s="176"/>
      <c r="D5" s="175" t="s">
        <v>2</v>
      </c>
      <c r="E5" s="176"/>
      <c r="F5" s="175" t="s">
        <v>3</v>
      </c>
      <c r="G5" s="176"/>
      <c r="H5" s="175" t="s">
        <v>4</v>
      </c>
      <c r="I5" s="176"/>
      <c r="J5" s="175" t="s">
        <v>32</v>
      </c>
      <c r="K5" s="176"/>
      <c r="L5" s="175" t="s">
        <v>36</v>
      </c>
      <c r="M5" s="176"/>
      <c r="N5" s="175" t="s">
        <v>33</v>
      </c>
      <c r="O5" s="176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4" t="s">
        <v>25</v>
      </c>
      <c r="Q6" s="29" t="s">
        <v>39</v>
      </c>
    </row>
    <row r="7" spans="1:18" ht="17.25">
      <c r="A7" s="30" t="s">
        <v>122</v>
      </c>
      <c r="B7" s="31">
        <v>2802541</v>
      </c>
      <c r="C7" s="32">
        <v>183022.5</v>
      </c>
      <c r="D7" s="31">
        <v>48200</v>
      </c>
      <c r="E7" s="32">
        <v>0</v>
      </c>
      <c r="F7" s="31">
        <v>1765670</v>
      </c>
      <c r="G7" s="32">
        <f>35892+24982</f>
        <v>60874</v>
      </c>
      <c r="H7" s="31">
        <v>697982</v>
      </c>
      <c r="I7" s="32">
        <f>8160+6000</f>
        <v>14160</v>
      </c>
      <c r="J7" s="31">
        <v>5000</v>
      </c>
      <c r="K7" s="32">
        <v>0</v>
      </c>
      <c r="L7" s="31">
        <v>100000</v>
      </c>
      <c r="M7" s="36">
        <v>0</v>
      </c>
      <c r="N7" s="31">
        <v>425000</v>
      </c>
      <c r="O7" s="32">
        <v>140218.31</v>
      </c>
      <c r="P7" s="33">
        <f>+C7+E7+G7+I7+K7+O7+M7</f>
        <v>398274.81</v>
      </c>
      <c r="Q7" s="33">
        <f>+B7+D7+F7+H7+J7+N7+L7-P7</f>
        <v>5446118.19</v>
      </c>
      <c r="R7" s="5"/>
    </row>
    <row r="8" spans="1:18" ht="17.25">
      <c r="A8" s="30"/>
      <c r="B8" s="31"/>
      <c r="C8" s="32"/>
      <c r="D8" s="31"/>
      <c r="E8" s="32"/>
      <c r="F8" s="31"/>
      <c r="G8" s="32"/>
      <c r="H8" s="31"/>
      <c r="I8" s="32"/>
      <c r="J8" s="31"/>
      <c r="K8" s="32"/>
      <c r="L8" s="31"/>
      <c r="M8" s="36"/>
      <c r="N8" s="31"/>
      <c r="O8" s="32"/>
      <c r="P8" s="33">
        <f>+C8+E8+G8+I8+K8+O8</f>
        <v>0</v>
      </c>
      <c r="Q8" s="33">
        <f>+B8+D8+F8+H8+J8+N8-P8</f>
        <v>0</v>
      </c>
      <c r="R8" s="5"/>
    </row>
    <row r="9" spans="1:18" ht="18" thickBot="1">
      <c r="A9" s="37" t="s">
        <v>11</v>
      </c>
      <c r="B9" s="38">
        <f aca="true" t="shared" si="0" ref="B9:Q9">SUM(B7:B8)</f>
        <v>2802541</v>
      </c>
      <c r="C9" s="39">
        <f t="shared" si="0"/>
        <v>183022.5</v>
      </c>
      <c r="D9" s="38">
        <f t="shared" si="0"/>
        <v>48200</v>
      </c>
      <c r="E9" s="39">
        <f t="shared" si="0"/>
        <v>0</v>
      </c>
      <c r="F9" s="38">
        <f t="shared" si="0"/>
        <v>1765670</v>
      </c>
      <c r="G9" s="39">
        <f t="shared" si="0"/>
        <v>60874</v>
      </c>
      <c r="H9" s="38">
        <f t="shared" si="0"/>
        <v>697982</v>
      </c>
      <c r="I9" s="39">
        <f t="shared" si="0"/>
        <v>14160</v>
      </c>
      <c r="J9" s="38">
        <f t="shared" si="0"/>
        <v>5000</v>
      </c>
      <c r="K9" s="39">
        <f t="shared" si="0"/>
        <v>0</v>
      </c>
      <c r="L9" s="38">
        <f t="shared" si="0"/>
        <v>100000</v>
      </c>
      <c r="M9" s="39">
        <f t="shared" si="0"/>
        <v>0</v>
      </c>
      <c r="N9" s="38">
        <f t="shared" si="0"/>
        <v>425000</v>
      </c>
      <c r="O9" s="39">
        <f t="shared" si="0"/>
        <v>140218.31</v>
      </c>
      <c r="P9" s="41">
        <f t="shared" si="0"/>
        <v>398274.81</v>
      </c>
      <c r="Q9" s="41">
        <f t="shared" si="0"/>
        <v>5446118.19</v>
      </c>
      <c r="R9" s="5"/>
    </row>
    <row r="10" spans="1:17" ht="17.25" thickBot="1">
      <c r="A10" s="42" t="s">
        <v>30</v>
      </c>
      <c r="B10" s="43"/>
      <c r="C10" s="137">
        <f>+C9/B9</f>
        <v>0.06530591345496818</v>
      </c>
      <c r="D10" s="137"/>
      <c r="E10" s="45">
        <f>+E9/D9</f>
        <v>0</v>
      </c>
      <c r="F10" s="137"/>
      <c r="G10" s="137">
        <f>+G9/F9</f>
        <v>0.03447643104317341</v>
      </c>
      <c r="H10" s="137"/>
      <c r="I10" s="137">
        <f>+I9/H9</f>
        <v>0.020287056113194896</v>
      </c>
      <c r="J10" s="137"/>
      <c r="K10" s="45">
        <f>+K9/J9</f>
        <v>0</v>
      </c>
      <c r="L10" s="162"/>
      <c r="M10" s="45">
        <f>+M9/L9</f>
        <v>0</v>
      </c>
      <c r="N10" s="148"/>
      <c r="O10" s="139">
        <f>+O9/N9</f>
        <v>0.32992543529411766</v>
      </c>
      <c r="P10" s="57"/>
      <c r="Q10" s="5"/>
    </row>
    <row r="11" spans="1:17" ht="16.5">
      <c r="A11" s="48"/>
      <c r="B11" s="48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"/>
    </row>
    <row r="12" spans="1:16" ht="16.5">
      <c r="A12" s="48"/>
      <c r="B12" s="48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29" spans="5:8" ht="16.5">
      <c r="E29" s="58"/>
      <c r="F29" s="58"/>
      <c r="G29" s="59"/>
      <c r="H29" s="59"/>
    </row>
    <row r="30" spans="5:8" ht="16.5">
      <c r="E30" s="60"/>
      <c r="F30" s="60"/>
      <c r="G30" s="60"/>
      <c r="H30" s="60"/>
    </row>
    <row r="35" spans="1:6" ht="16.5">
      <c r="A35" s="52"/>
      <c r="B35" s="52"/>
      <c r="C35" s="52"/>
      <c r="D35" s="52"/>
      <c r="E35" s="52"/>
      <c r="F35" s="52"/>
    </row>
    <row r="36" ht="16.5">
      <c r="C36" s="47"/>
    </row>
    <row r="37" spans="3:6" ht="16.5">
      <c r="C37" s="51"/>
      <c r="D37" s="5"/>
      <c r="E37" s="52"/>
      <c r="F37" s="52"/>
    </row>
    <row r="38" spans="3:6" ht="16.5">
      <c r="C38" s="51"/>
      <c r="D38" s="5"/>
      <c r="E38" s="52"/>
      <c r="F38" s="52"/>
    </row>
    <row r="39" spans="3:6" ht="16.5">
      <c r="C39" s="51"/>
      <c r="D39" s="5"/>
      <c r="E39" s="52"/>
      <c r="F39" s="52"/>
    </row>
    <row r="40" spans="3:6" ht="16.5">
      <c r="C40" s="51"/>
      <c r="D40" s="5"/>
      <c r="E40" s="52"/>
      <c r="F40" s="52"/>
    </row>
    <row r="41" spans="3:6" ht="16.5">
      <c r="C41" s="51"/>
      <c r="D41" s="5"/>
      <c r="E41" s="52"/>
      <c r="F41" s="52"/>
    </row>
    <row r="42" spans="3:6" ht="16.5">
      <c r="C42" s="51"/>
      <c r="D42" s="5"/>
      <c r="E42" s="52"/>
      <c r="F42" s="52"/>
    </row>
    <row r="44" spans="1:5" ht="16.5">
      <c r="A44" s="61" t="s">
        <v>26</v>
      </c>
      <c r="B44" s="61" t="s">
        <v>27</v>
      </c>
      <c r="C44" s="61" t="s">
        <v>28</v>
      </c>
      <c r="D44" s="61"/>
      <c r="E44" s="62"/>
    </row>
    <row r="45" spans="1:3" ht="17.25">
      <c r="A45" s="63">
        <f>+B9</f>
        <v>2802541</v>
      </c>
      <c r="B45" s="64">
        <f>+C9</f>
        <v>183022.5</v>
      </c>
      <c r="C45" s="61" t="s">
        <v>1</v>
      </c>
    </row>
    <row r="46" spans="1:3" ht="17.25">
      <c r="A46" s="63">
        <f>+D9</f>
        <v>48200</v>
      </c>
      <c r="B46" s="64">
        <f>+E9</f>
        <v>0</v>
      </c>
      <c r="C46" s="61" t="s">
        <v>2</v>
      </c>
    </row>
    <row r="47" spans="1:3" ht="17.25">
      <c r="A47" s="63">
        <f>+F9</f>
        <v>1765670</v>
      </c>
      <c r="B47" s="64">
        <f>+G9</f>
        <v>60874</v>
      </c>
      <c r="C47" s="61" t="s">
        <v>3</v>
      </c>
    </row>
    <row r="48" spans="1:3" ht="17.25">
      <c r="A48" s="63">
        <f>+H9</f>
        <v>697982</v>
      </c>
      <c r="B48" s="64">
        <f>+I9</f>
        <v>14160</v>
      </c>
      <c r="C48" s="61" t="s">
        <v>34</v>
      </c>
    </row>
    <row r="49" spans="1:3" ht="17.25">
      <c r="A49" s="63">
        <f>+J9</f>
        <v>5000</v>
      </c>
      <c r="B49" s="64">
        <f>+K9</f>
        <v>0</v>
      </c>
      <c r="C49" s="61" t="s">
        <v>32</v>
      </c>
    </row>
    <row r="50" spans="1:3" ht="17.25">
      <c r="A50" s="65">
        <f>+L9</f>
        <v>100000</v>
      </c>
      <c r="B50" s="64">
        <f>+M9</f>
        <v>0</v>
      </c>
      <c r="C50" s="61" t="s">
        <v>100</v>
      </c>
    </row>
    <row r="51" spans="1:3" ht="17.25">
      <c r="A51" s="63">
        <f>+N9</f>
        <v>425000</v>
      </c>
      <c r="B51" s="64">
        <f>+O9</f>
        <v>140218.31</v>
      </c>
      <c r="C51" s="61" t="s">
        <v>35</v>
      </c>
    </row>
    <row r="52" spans="1:3" ht="17.25">
      <c r="A52" s="63"/>
      <c r="B52" s="63"/>
      <c r="C52" s="61"/>
    </row>
    <row r="53" spans="1:2" ht="16.5">
      <c r="A53" s="1">
        <v>2809993</v>
      </c>
      <c r="B53" s="5">
        <v>749308.3</v>
      </c>
    </row>
  </sheetData>
  <sheetProtection/>
  <mergeCells count="10">
    <mergeCell ref="B2:G2"/>
    <mergeCell ref="B3:D3"/>
    <mergeCell ref="J5:K5"/>
    <mergeCell ref="N5:O5"/>
    <mergeCell ref="B5:C5"/>
    <mergeCell ref="D5:E5"/>
    <mergeCell ref="F5:G5"/>
    <mergeCell ref="H5:I5"/>
    <mergeCell ref="L5:M5"/>
    <mergeCell ref="K2:L2"/>
  </mergeCells>
  <printOptions/>
  <pageMargins left="0.7874015748031497" right="0.59" top="0.61" bottom="0.4330708661417323" header="0" footer="0"/>
  <pageSetup horizontalDpi="300" verticalDpi="3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6"/>
  <sheetViews>
    <sheetView zoomScalePageLayoutView="0" workbookViewId="0" topLeftCell="A1">
      <selection activeCell="P19" sqref="P19"/>
    </sheetView>
  </sheetViews>
  <sheetFormatPr defaultColWidth="11.421875" defaultRowHeight="15"/>
  <cols>
    <col min="1" max="1" width="18.7109375" style="1" customWidth="1"/>
    <col min="2" max="2" width="9.28125" style="1" customWidth="1"/>
    <col min="3" max="3" width="10.421875" style="1" customWidth="1"/>
    <col min="4" max="4" width="6.8515625" style="1" customWidth="1"/>
    <col min="5" max="5" width="9.28125" style="1" customWidth="1"/>
    <col min="6" max="6" width="9.421875" style="1" customWidth="1"/>
    <col min="7" max="7" width="11.140625" style="1" customWidth="1"/>
    <col min="8" max="8" width="9.140625" style="1" customWidth="1"/>
    <col min="9" max="9" width="8.7109375" style="1" customWidth="1"/>
    <col min="10" max="10" width="6.8515625" style="1" customWidth="1"/>
    <col min="11" max="11" width="8.57421875" style="1" customWidth="1"/>
    <col min="12" max="12" width="7.8515625" style="1" customWidth="1"/>
    <col min="13" max="13" width="9.140625" style="1" customWidth="1"/>
    <col min="14" max="14" width="7.7109375" style="1" customWidth="1"/>
    <col min="15" max="15" width="10.57421875" style="1" customWidth="1"/>
    <col min="16" max="16" width="10.7109375" style="1" customWidth="1"/>
    <col min="17" max="17" width="12.00390625" style="1" customWidth="1"/>
    <col min="18" max="18" width="11.7109375" style="1" bestFit="1" customWidth="1"/>
    <col min="19" max="16384" width="11.421875" style="1" customWidth="1"/>
  </cols>
  <sheetData>
    <row r="2" spans="1:15" ht="18">
      <c r="A2" s="144" t="s">
        <v>0</v>
      </c>
      <c r="B2" s="168" t="s">
        <v>118</v>
      </c>
      <c r="C2" s="185"/>
      <c r="D2" s="185"/>
      <c r="E2" s="186"/>
      <c r="F2" s="186"/>
      <c r="G2" s="181"/>
      <c r="K2" s="188" t="s">
        <v>23</v>
      </c>
      <c r="L2" s="189"/>
      <c r="M2" s="149">
        <v>41275</v>
      </c>
      <c r="O2" s="55"/>
    </row>
    <row r="3" spans="2:4" ht="16.5">
      <c r="B3" s="183"/>
      <c r="C3" s="184"/>
      <c r="D3" s="184"/>
    </row>
    <row r="4" ht="17.25" thickBot="1"/>
    <row r="5" spans="1:17" ht="17.25">
      <c r="A5" s="24"/>
      <c r="B5" s="175" t="s">
        <v>1</v>
      </c>
      <c r="C5" s="176"/>
      <c r="D5" s="175" t="s">
        <v>2</v>
      </c>
      <c r="E5" s="176"/>
      <c r="F5" s="175" t="s">
        <v>3</v>
      </c>
      <c r="G5" s="176"/>
      <c r="H5" s="175" t="s">
        <v>4</v>
      </c>
      <c r="I5" s="176"/>
      <c r="J5" s="175" t="s">
        <v>32</v>
      </c>
      <c r="K5" s="176"/>
      <c r="L5" s="175" t="s">
        <v>36</v>
      </c>
      <c r="M5" s="176"/>
      <c r="N5" s="175" t="s">
        <v>33</v>
      </c>
      <c r="O5" s="176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4" t="s">
        <v>25</v>
      </c>
      <c r="Q6" s="29" t="s">
        <v>39</v>
      </c>
    </row>
    <row r="7" spans="1:17" ht="17.25">
      <c r="A7" s="96"/>
      <c r="B7" s="158"/>
      <c r="C7" s="159"/>
      <c r="D7" s="158"/>
      <c r="E7" s="159"/>
      <c r="F7" s="158"/>
      <c r="G7" s="159"/>
      <c r="H7" s="158"/>
      <c r="I7" s="159"/>
      <c r="J7" s="158"/>
      <c r="K7" s="159"/>
      <c r="L7" s="158"/>
      <c r="M7" s="158"/>
      <c r="N7" s="158"/>
      <c r="O7" s="159"/>
      <c r="P7" s="160"/>
      <c r="Q7" s="161"/>
    </row>
    <row r="8" spans="1:18" ht="17.25">
      <c r="A8" s="30" t="s">
        <v>122</v>
      </c>
      <c r="B8" s="31">
        <v>2829569</v>
      </c>
      <c r="C8" s="32">
        <v>193220.95</v>
      </c>
      <c r="D8" s="31">
        <v>69975</v>
      </c>
      <c r="E8" s="32">
        <f>212.42+614.9</f>
        <v>827.3199999999999</v>
      </c>
      <c r="F8" s="31">
        <v>2245306</v>
      </c>
      <c r="G8" s="32">
        <f>68851+56813</f>
        <v>125664</v>
      </c>
      <c r="H8" s="31">
        <v>1255979</v>
      </c>
      <c r="I8" s="32">
        <v>0</v>
      </c>
      <c r="J8" s="31">
        <v>55000</v>
      </c>
      <c r="K8" s="32">
        <v>0</v>
      </c>
      <c r="L8" s="31">
        <v>0</v>
      </c>
      <c r="M8" s="36">
        <v>0</v>
      </c>
      <c r="N8" s="31">
        <v>425000</v>
      </c>
      <c r="O8" s="32">
        <v>152080.55</v>
      </c>
      <c r="P8" s="33">
        <f>+C8+E8+G8+I8+K8+O8+M8</f>
        <v>471792.82</v>
      </c>
      <c r="Q8" s="33">
        <f>+B8+D8+F8+H8+J8+N8+L8-P8</f>
        <v>6409036.18</v>
      </c>
      <c r="R8" s="5"/>
    </row>
    <row r="9" spans="1:18" ht="17.25" hidden="1">
      <c r="A9" s="30" t="s">
        <v>123</v>
      </c>
      <c r="B9" s="31">
        <v>0</v>
      </c>
      <c r="C9" s="32"/>
      <c r="D9" s="31">
        <v>0</v>
      </c>
      <c r="E9" s="32"/>
      <c r="F9" s="31">
        <v>0</v>
      </c>
      <c r="G9" s="32"/>
      <c r="H9" s="31">
        <v>0</v>
      </c>
      <c r="I9" s="32"/>
      <c r="J9" s="31">
        <v>0</v>
      </c>
      <c r="K9" s="32"/>
      <c r="L9" s="31">
        <v>0</v>
      </c>
      <c r="M9" s="36"/>
      <c r="N9" s="31">
        <v>0</v>
      </c>
      <c r="O9" s="32"/>
      <c r="P9" s="33">
        <f>+C9+E9+G9+I9+K9+O9</f>
        <v>0</v>
      </c>
      <c r="Q9" s="33">
        <f>+B9+D9+F9+H9+J9+N9-P9</f>
        <v>0</v>
      </c>
      <c r="R9" s="5"/>
    </row>
    <row r="10" spans="1:18" ht="17.25" hidden="1">
      <c r="A10" s="30" t="s">
        <v>124</v>
      </c>
      <c r="B10" s="31">
        <v>0</v>
      </c>
      <c r="C10" s="32"/>
      <c r="D10" s="34">
        <v>0</v>
      </c>
      <c r="E10" s="32"/>
      <c r="F10" s="31">
        <v>0</v>
      </c>
      <c r="G10" s="32"/>
      <c r="H10" s="31">
        <v>0</v>
      </c>
      <c r="I10" s="32"/>
      <c r="J10" s="34">
        <v>0</v>
      </c>
      <c r="K10" s="32"/>
      <c r="L10" s="31">
        <v>0</v>
      </c>
      <c r="M10" s="36"/>
      <c r="N10" s="31">
        <v>0</v>
      </c>
      <c r="O10" s="32"/>
      <c r="P10" s="33">
        <f>+C10+E10+G10+I10+K10+O10</f>
        <v>0</v>
      </c>
      <c r="Q10" s="33">
        <f>+B10+D10+F10+H10+J10+N10-P10</f>
        <v>0</v>
      </c>
      <c r="R10" s="5"/>
    </row>
    <row r="11" spans="1:18" ht="14.25" customHeight="1">
      <c r="A11" s="30"/>
      <c r="B11" s="31"/>
      <c r="C11" s="32"/>
      <c r="D11" s="34"/>
      <c r="E11" s="32"/>
      <c r="F11" s="31"/>
      <c r="G11" s="32"/>
      <c r="H11" s="31"/>
      <c r="I11" s="32"/>
      <c r="J11" s="34"/>
      <c r="K11" s="32"/>
      <c r="L11" s="36"/>
      <c r="M11" s="36"/>
      <c r="N11" s="31"/>
      <c r="O11" s="32"/>
      <c r="P11" s="33"/>
      <c r="Q11" s="33"/>
      <c r="R11" s="5"/>
    </row>
    <row r="12" spans="1:18" ht="18" thickBot="1">
      <c r="A12" s="37" t="s">
        <v>11</v>
      </c>
      <c r="B12" s="38">
        <f aca="true" t="shared" si="0" ref="B12:Q12">SUM(B8:B11)</f>
        <v>2829569</v>
      </c>
      <c r="C12" s="39">
        <f t="shared" si="0"/>
        <v>193220.95</v>
      </c>
      <c r="D12" s="38">
        <f t="shared" si="0"/>
        <v>69975</v>
      </c>
      <c r="E12" s="39">
        <f t="shared" si="0"/>
        <v>827.3199999999999</v>
      </c>
      <c r="F12" s="38">
        <f t="shared" si="0"/>
        <v>2245306</v>
      </c>
      <c r="G12" s="39">
        <f t="shared" si="0"/>
        <v>125664</v>
      </c>
      <c r="H12" s="38">
        <f t="shared" si="0"/>
        <v>1255979</v>
      </c>
      <c r="I12" s="39">
        <f t="shared" si="0"/>
        <v>0</v>
      </c>
      <c r="J12" s="38">
        <f t="shared" si="0"/>
        <v>55000</v>
      </c>
      <c r="K12" s="39">
        <f t="shared" si="0"/>
        <v>0</v>
      </c>
      <c r="L12" s="38">
        <f t="shared" si="0"/>
        <v>0</v>
      </c>
      <c r="M12" s="39">
        <f t="shared" si="0"/>
        <v>0</v>
      </c>
      <c r="N12" s="38">
        <f t="shared" si="0"/>
        <v>425000</v>
      </c>
      <c r="O12" s="39">
        <f t="shared" si="0"/>
        <v>152080.55</v>
      </c>
      <c r="P12" s="41">
        <f t="shared" si="0"/>
        <v>471792.82</v>
      </c>
      <c r="Q12" s="41">
        <f t="shared" si="0"/>
        <v>6409036.18</v>
      </c>
      <c r="R12" s="5"/>
    </row>
    <row r="13" spans="1:17" ht="17.25" thickBot="1">
      <c r="A13" s="42" t="s">
        <v>30</v>
      </c>
      <c r="B13" s="43"/>
      <c r="C13" s="137">
        <f>+C12/B12</f>
        <v>0.06828635385813175</v>
      </c>
      <c r="D13" s="137"/>
      <c r="E13" s="137">
        <f>+E12/D12</f>
        <v>0.011823079671311182</v>
      </c>
      <c r="F13" s="137"/>
      <c r="G13" s="137">
        <f>+G12/F12</f>
        <v>0.05596742715692204</v>
      </c>
      <c r="H13" s="44"/>
      <c r="I13" s="45">
        <f>+I12/H12</f>
        <v>0</v>
      </c>
      <c r="J13" s="44"/>
      <c r="K13" s="44">
        <f>+K12/J12</f>
        <v>0</v>
      </c>
      <c r="L13" s="46"/>
      <c r="M13" s="145"/>
      <c r="N13" s="44"/>
      <c r="O13" s="139">
        <f>+O12/N12</f>
        <v>0.3578365882352941</v>
      </c>
      <c r="P13" s="57"/>
      <c r="Q13" s="5"/>
    </row>
    <row r="14" spans="1:17" ht="9" customHeight="1">
      <c r="A14" s="48"/>
      <c r="B14" s="4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"/>
    </row>
    <row r="15" spans="1:16" ht="16.5">
      <c r="A15" s="48"/>
      <c r="B15" s="4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32" spans="5:8" ht="16.5">
      <c r="E32" s="58"/>
      <c r="F32" s="58"/>
      <c r="G32" s="59"/>
      <c r="H32" s="59"/>
    </row>
    <row r="33" spans="5:8" ht="16.5">
      <c r="E33" s="60"/>
      <c r="F33" s="60"/>
      <c r="G33" s="60"/>
      <c r="H33" s="60"/>
    </row>
    <row r="38" spans="1:6" ht="16.5">
      <c r="A38" s="52"/>
      <c r="B38" s="52"/>
      <c r="C38" s="52"/>
      <c r="D38" s="52"/>
      <c r="E38" s="52"/>
      <c r="F38" s="52"/>
    </row>
    <row r="39" ht="16.5">
      <c r="C39" s="47"/>
    </row>
    <row r="40" spans="3:6" ht="16.5">
      <c r="C40" s="51"/>
      <c r="D40" s="5"/>
      <c r="E40" s="52"/>
      <c r="F40" s="52"/>
    </row>
    <row r="41" spans="3:6" ht="16.5">
      <c r="C41" s="51"/>
      <c r="D41" s="5"/>
      <c r="E41" s="52"/>
      <c r="F41" s="52"/>
    </row>
    <row r="42" spans="3:6" ht="16.5">
      <c r="C42" s="51"/>
      <c r="D42" s="5"/>
      <c r="E42" s="52"/>
      <c r="F42" s="52"/>
    </row>
    <row r="43" spans="3:6" ht="16.5">
      <c r="C43" s="51"/>
      <c r="D43" s="5"/>
      <c r="E43" s="52"/>
      <c r="F43" s="52"/>
    </row>
    <row r="44" spans="3:6" ht="16.5">
      <c r="C44" s="51"/>
      <c r="D44" s="5"/>
      <c r="E44" s="52"/>
      <c r="F44" s="52"/>
    </row>
    <row r="45" spans="3:6" ht="16.5">
      <c r="C45" s="51"/>
      <c r="D45" s="5"/>
      <c r="E45" s="52"/>
      <c r="F45" s="52"/>
    </row>
    <row r="47" spans="1:5" ht="16.5">
      <c r="A47" s="61" t="s">
        <v>26</v>
      </c>
      <c r="B47" s="61" t="s">
        <v>27</v>
      </c>
      <c r="C47" s="61" t="s">
        <v>28</v>
      </c>
      <c r="D47" s="61"/>
      <c r="E47" s="62"/>
    </row>
    <row r="48" spans="1:3" ht="17.25">
      <c r="A48" s="63">
        <f>+B12</f>
        <v>2829569</v>
      </c>
      <c r="B48" s="64">
        <f>+C12</f>
        <v>193220.95</v>
      </c>
      <c r="C48" s="61" t="s">
        <v>1</v>
      </c>
    </row>
    <row r="49" spans="1:3" ht="17.25">
      <c r="A49" s="63">
        <f>+D12</f>
        <v>69975</v>
      </c>
      <c r="B49" s="64">
        <f>+E12</f>
        <v>827.3199999999999</v>
      </c>
      <c r="C49" s="61" t="s">
        <v>2</v>
      </c>
    </row>
    <row r="50" spans="1:3" ht="17.25">
      <c r="A50" s="63">
        <f>+F12</f>
        <v>2245306</v>
      </c>
      <c r="B50" s="64">
        <f>+G12</f>
        <v>125664</v>
      </c>
      <c r="C50" s="61" t="s">
        <v>3</v>
      </c>
    </row>
    <row r="51" spans="1:3" ht="17.25">
      <c r="A51" s="63">
        <f>+H12</f>
        <v>1255979</v>
      </c>
      <c r="B51" s="64">
        <f>+I12</f>
        <v>0</v>
      </c>
      <c r="C51" s="61" t="s">
        <v>34</v>
      </c>
    </row>
    <row r="52" spans="1:3" ht="17.25">
      <c r="A52" s="63">
        <f>+J12</f>
        <v>55000</v>
      </c>
      <c r="B52" s="64">
        <f>+K12</f>
        <v>0</v>
      </c>
      <c r="C52" s="61" t="s">
        <v>32</v>
      </c>
    </row>
    <row r="53" spans="1:3" ht="17.25">
      <c r="A53" s="65">
        <f>+L12</f>
        <v>0</v>
      </c>
      <c r="B53" s="64">
        <f>+M12</f>
        <v>0</v>
      </c>
      <c r="C53" s="61" t="s">
        <v>100</v>
      </c>
    </row>
    <row r="54" spans="1:3" ht="17.25">
      <c r="A54" s="63">
        <f>+N12</f>
        <v>425000</v>
      </c>
      <c r="B54" s="64">
        <f>+O12</f>
        <v>152080.55</v>
      </c>
      <c r="C54" s="61" t="s">
        <v>35</v>
      </c>
    </row>
    <row r="55" spans="1:3" ht="17.25">
      <c r="A55" s="63">
        <f>SUM(A48:A54)</f>
        <v>6880829</v>
      </c>
      <c r="B55" s="64">
        <f>SUM(B48:B54)</f>
        <v>471792.82</v>
      </c>
      <c r="C55" s="61"/>
    </row>
    <row r="56" ht="16.5">
      <c r="B56" s="5"/>
    </row>
  </sheetData>
  <sheetProtection/>
  <mergeCells count="10">
    <mergeCell ref="B2:G2"/>
    <mergeCell ref="K2:L2"/>
    <mergeCell ref="B3:D3"/>
    <mergeCell ref="J5:K5"/>
    <mergeCell ref="N5:O5"/>
    <mergeCell ref="B5:C5"/>
    <mergeCell ref="D5:E5"/>
    <mergeCell ref="F5:G5"/>
    <mergeCell ref="H5:I5"/>
    <mergeCell ref="L5:M5"/>
  </mergeCells>
  <printOptions/>
  <pageMargins left="0.93" right="0.75" top="0.95" bottom="0.58" header="0.41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C18" sqref="C18"/>
    </sheetView>
  </sheetViews>
  <sheetFormatPr defaultColWidth="11.421875" defaultRowHeight="15"/>
  <cols>
    <col min="1" max="1" width="20.57421875" style="1" customWidth="1"/>
    <col min="2" max="2" width="13.8515625" style="1" customWidth="1"/>
    <col min="3" max="3" width="13.140625" style="1" customWidth="1"/>
    <col min="4" max="4" width="9.28125" style="1" customWidth="1"/>
    <col min="5" max="5" width="13.140625" style="1" customWidth="1"/>
    <col min="6" max="6" width="11.7109375" style="1" customWidth="1"/>
    <col min="7" max="7" width="12.00390625" style="1" customWidth="1"/>
    <col min="8" max="8" width="11.7109375" style="1" customWidth="1"/>
    <col min="9" max="9" width="12.7109375" style="1" customWidth="1"/>
    <col min="10" max="10" width="11.8515625" style="1" customWidth="1"/>
    <col min="11" max="11" width="13.140625" style="1" customWidth="1"/>
    <col min="12" max="12" width="14.14062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ht="17.25">
      <c r="A1" s="165" t="s">
        <v>41</v>
      </c>
    </row>
    <row r="2" spans="1:3" ht="17.25" thickBot="1">
      <c r="A2" s="17" t="s">
        <v>42</v>
      </c>
      <c r="C2" s="166">
        <v>41275</v>
      </c>
    </row>
    <row r="3" spans="1:12" ht="18" thickTop="1">
      <c r="A3" s="2" t="s">
        <v>43</v>
      </c>
      <c r="B3" s="152" t="s">
        <v>44</v>
      </c>
      <c r="C3" s="152" t="s">
        <v>25</v>
      </c>
      <c r="D3" s="152" t="s">
        <v>45</v>
      </c>
      <c r="E3" s="190" t="s">
        <v>46</v>
      </c>
      <c r="F3" s="191"/>
      <c r="G3" s="191"/>
      <c r="H3" s="191"/>
      <c r="I3" s="191"/>
      <c r="J3" s="191"/>
      <c r="K3" s="192"/>
      <c r="L3" s="154" t="s">
        <v>24</v>
      </c>
    </row>
    <row r="4" spans="1:12" ht="17.25">
      <c r="A4" s="3"/>
      <c r="B4" s="153" t="s">
        <v>47</v>
      </c>
      <c r="C4" s="153" t="s">
        <v>47</v>
      </c>
      <c r="D4" s="153" t="s">
        <v>48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49</v>
      </c>
      <c r="J4" s="4" t="s">
        <v>29</v>
      </c>
      <c r="K4" s="4" t="s">
        <v>35</v>
      </c>
      <c r="L4" s="155" t="s">
        <v>50</v>
      </c>
    </row>
    <row r="5" spans="1:12" ht="16.5">
      <c r="A5" s="156" t="s">
        <v>15</v>
      </c>
      <c r="B5" s="100">
        <f>+INT!P12+INT!Q12</f>
        <v>9899627</v>
      </c>
      <c r="C5" s="100">
        <f>SUM(E5:K5)</f>
        <v>506783.49</v>
      </c>
      <c r="D5" s="101">
        <f>+C5/B5</f>
        <v>0.051192180271034456</v>
      </c>
      <c r="E5" s="100">
        <f>+INT!C12</f>
        <v>242388.90000000002</v>
      </c>
      <c r="F5" s="100">
        <f>+INT!E$12</f>
        <v>959.68</v>
      </c>
      <c r="G5" s="100">
        <f>+INT!G$12</f>
        <v>20021.559999999998</v>
      </c>
      <c r="H5" s="100">
        <f>+INT!I$12</f>
        <v>27527.940000000002</v>
      </c>
      <c r="I5" s="100">
        <f>+INT!K$12</f>
        <v>0</v>
      </c>
      <c r="J5" s="100">
        <f>+INT!M12</f>
        <v>4750</v>
      </c>
      <c r="K5" s="100">
        <f>+INT!O$12</f>
        <v>211135.41</v>
      </c>
      <c r="L5" s="102">
        <f>+B5-C5</f>
        <v>9392843.51</v>
      </c>
    </row>
    <row r="6" spans="1:12" ht="16.5">
      <c r="A6" s="156" t="s">
        <v>16</v>
      </c>
      <c r="B6" s="100">
        <f>+GOB!P18+GOB!Q18</f>
        <v>14876107.000000004</v>
      </c>
      <c r="C6" s="100">
        <f>SUM(E6:K6)</f>
        <v>1304661.12</v>
      </c>
      <c r="D6" s="101">
        <f>+C6/B6</f>
        <v>0.08770178380674458</v>
      </c>
      <c r="E6" s="100">
        <f>+GOB!C18</f>
        <v>610368.05</v>
      </c>
      <c r="F6" s="100">
        <f>+GOB!E18</f>
        <v>884.6500000000001</v>
      </c>
      <c r="G6" s="100">
        <f>+GOB!G18</f>
        <v>126487.76999999999</v>
      </c>
      <c r="H6" s="100">
        <f>+GOB!I18</f>
        <v>6500.48</v>
      </c>
      <c r="I6" s="100">
        <f>+GOB!K18</f>
        <v>0</v>
      </c>
      <c r="J6" s="100">
        <f>+GOB!M18</f>
        <v>0</v>
      </c>
      <c r="K6" s="100">
        <f>+GOB!O18</f>
        <v>560420.17</v>
      </c>
      <c r="L6" s="102">
        <f>+B6-C6</f>
        <v>13571445.880000003</v>
      </c>
    </row>
    <row r="7" spans="1:12" ht="16.5">
      <c r="A7" s="156" t="s">
        <v>17</v>
      </c>
      <c r="B7" s="100">
        <f>+SEH!P14+SEH!Q14</f>
        <v>13770637.000000002</v>
      </c>
      <c r="C7" s="100">
        <f>SUM(E7:K7)</f>
        <v>1207799.6300000001</v>
      </c>
      <c r="D7" s="101">
        <f>+C7/B7</f>
        <v>0.08770833404438734</v>
      </c>
      <c r="E7" s="100">
        <f>+SEH!C14</f>
        <v>491258.53</v>
      </c>
      <c r="F7" s="100">
        <f>+SEH!E14</f>
        <v>280941.5</v>
      </c>
      <c r="G7" s="100">
        <f>+SEH!G14</f>
        <v>20429.9</v>
      </c>
      <c r="H7" s="100">
        <f>+SEH!I14</f>
        <v>0</v>
      </c>
      <c r="I7" s="100">
        <f>+SEH!K14</f>
        <v>0</v>
      </c>
      <c r="J7" s="100">
        <f>+SEH!M14</f>
        <v>0</v>
      </c>
      <c r="K7" s="100">
        <f>+SEH!O14</f>
        <v>415169.70000000007</v>
      </c>
      <c r="L7" s="102">
        <f>+B7-C7</f>
        <v>12562837.370000001</v>
      </c>
    </row>
    <row r="8" spans="1:12" ht="16.5">
      <c r="A8" s="156" t="s">
        <v>20</v>
      </c>
      <c r="B8" s="100">
        <f>+SAS!P13+SAS!Q13</f>
        <v>29989833</v>
      </c>
      <c r="C8" s="100">
        <f aca="true" t="shared" si="0" ref="C8:C15">SUM(E8:K8)</f>
        <v>2594229.0799999996</v>
      </c>
      <c r="D8" s="101">
        <f aca="true" t="shared" si="1" ref="D8:D15">+C8/B8</f>
        <v>0.08650361874305867</v>
      </c>
      <c r="E8" s="100">
        <f>+SAS!C13</f>
        <v>1054187.68</v>
      </c>
      <c r="F8" s="100">
        <f>+SAS!E13</f>
        <v>549.4100000000001</v>
      </c>
      <c r="G8" s="100">
        <f>+SAS!G13</f>
        <v>480384</v>
      </c>
      <c r="H8" s="100">
        <f>+SAS!I13</f>
        <v>140535.61</v>
      </c>
      <c r="I8" s="100">
        <f>+SAS!K13</f>
        <v>0</v>
      </c>
      <c r="J8" s="100">
        <f>+SAS!M13</f>
        <v>0</v>
      </c>
      <c r="K8" s="100">
        <f>+SAS!O13</f>
        <v>918572.38</v>
      </c>
      <c r="L8" s="102">
        <f aca="true" t="shared" si="2" ref="L8:L15">+B8-C8</f>
        <v>27395603.92</v>
      </c>
    </row>
    <row r="9" spans="1:12" ht="16.5">
      <c r="A9" s="156" t="s">
        <v>18</v>
      </c>
      <c r="B9" s="100">
        <f>+SOP!P12+SOP!Q12</f>
        <v>43027125</v>
      </c>
      <c r="C9" s="100">
        <f t="shared" si="0"/>
        <v>1719400.75</v>
      </c>
      <c r="D9" s="101">
        <f t="shared" si="1"/>
        <v>0.0399608560878748</v>
      </c>
      <c r="E9" s="100">
        <f>+SOP!C12</f>
        <v>424471.82</v>
      </c>
      <c r="F9" s="100">
        <f>+SOP!E12</f>
        <v>2155.12</v>
      </c>
      <c r="G9" s="100">
        <f>+SOP!G12</f>
        <v>73764.59</v>
      </c>
      <c r="H9" s="100">
        <f>+SOP!I12</f>
        <v>0</v>
      </c>
      <c r="I9" s="100">
        <f>+SOP!K12</f>
        <v>0</v>
      </c>
      <c r="J9" s="100">
        <f>+SOP!M12</f>
        <v>387399.16</v>
      </c>
      <c r="K9" s="100">
        <f>+SOP!O12</f>
        <v>831610.0599999999</v>
      </c>
      <c r="L9" s="102">
        <f t="shared" si="2"/>
        <v>41307724.25</v>
      </c>
    </row>
    <row r="10" spans="1:12" ht="16.5">
      <c r="A10" s="156" t="s">
        <v>86</v>
      </c>
      <c r="B10" s="100">
        <f>+SFOI!P13+SFOI!Q13</f>
        <v>27563227.999999996</v>
      </c>
      <c r="C10" s="100">
        <f t="shared" si="0"/>
        <v>4994272.949999999</v>
      </c>
      <c r="D10" s="101">
        <f t="shared" si="1"/>
        <v>0.18119332575995817</v>
      </c>
      <c r="E10" s="100">
        <f>+SFOI!C13</f>
        <v>1419312.7</v>
      </c>
      <c r="F10" s="100">
        <f>+SFOI!E13</f>
        <v>2194.33</v>
      </c>
      <c r="G10" s="100">
        <f>+SFOI!G13</f>
        <v>1362072.1400000001</v>
      </c>
      <c r="H10" s="100">
        <f>+SFOI!I13</f>
        <v>0</v>
      </c>
      <c r="I10" s="100">
        <f>+SFOI!K13</f>
        <v>0</v>
      </c>
      <c r="J10" s="100">
        <f>+SFOI!M13</f>
        <v>0</v>
      </c>
      <c r="K10" s="100">
        <f>+SFOI!O13</f>
        <v>2210693.78</v>
      </c>
      <c r="L10" s="102">
        <f t="shared" si="2"/>
        <v>22568955.049999997</v>
      </c>
    </row>
    <row r="11" spans="1:12" ht="16.5">
      <c r="A11" s="156" t="s">
        <v>21</v>
      </c>
      <c r="B11" s="100">
        <f>+'CD'!P11+'CD'!Q11</f>
        <v>2902727</v>
      </c>
      <c r="C11" s="100">
        <f t="shared" si="0"/>
        <v>260321.21000000002</v>
      </c>
      <c r="D11" s="101">
        <f t="shared" si="1"/>
        <v>0.08968160285138768</v>
      </c>
      <c r="E11" s="100">
        <f>+'CD'!C11</f>
        <v>133249.32</v>
      </c>
      <c r="F11" s="100">
        <f>+'CD'!E11</f>
        <v>0</v>
      </c>
      <c r="G11" s="100">
        <f>+'CD'!G11</f>
        <v>0</v>
      </c>
      <c r="H11" s="100">
        <f>+'CD'!I11</f>
        <v>22003.2</v>
      </c>
      <c r="I11" s="100">
        <f>+'CD'!K11</f>
        <v>0</v>
      </c>
      <c r="J11" s="100">
        <f>+'CD'!M11</f>
        <v>0</v>
      </c>
      <c r="K11" s="100">
        <f>+'CD'!O11</f>
        <v>105068.69</v>
      </c>
      <c r="L11" s="102">
        <f t="shared" si="2"/>
        <v>2642405.79</v>
      </c>
    </row>
    <row r="12" spans="1:12" ht="16.5">
      <c r="A12" s="156" t="s">
        <v>22</v>
      </c>
      <c r="B12" s="100">
        <f>+'CM'!N12+'CM'!O12</f>
        <v>725929</v>
      </c>
      <c r="C12" s="100">
        <f t="shared" si="0"/>
        <v>78865.18</v>
      </c>
      <c r="D12" s="101">
        <f t="shared" si="1"/>
        <v>0.10864034912505216</v>
      </c>
      <c r="E12" s="100">
        <f>+'CM'!C12</f>
        <v>36314.01</v>
      </c>
      <c r="F12" s="100">
        <f>+'CM'!E12</f>
        <v>0</v>
      </c>
      <c r="G12" s="100">
        <f>+'CM'!G12</f>
        <v>7400</v>
      </c>
      <c r="H12" s="100">
        <f>+'CM'!I12</f>
        <v>0</v>
      </c>
      <c r="I12" s="100">
        <f>+'CM'!K12</f>
        <v>0</v>
      </c>
      <c r="J12" s="100">
        <v>0</v>
      </c>
      <c r="K12" s="100">
        <f>+'CM'!M12</f>
        <v>35151.17</v>
      </c>
      <c r="L12" s="102">
        <f t="shared" si="2"/>
        <v>647063.8200000001</v>
      </c>
    </row>
    <row r="13" spans="1:12" ht="16.5">
      <c r="A13" s="156" t="s">
        <v>19</v>
      </c>
      <c r="B13" s="100">
        <f>+SSP!P13+SSP!Q13</f>
        <v>49592978.99999999</v>
      </c>
      <c r="C13" s="100">
        <f t="shared" si="0"/>
        <v>5272712.300000001</v>
      </c>
      <c r="D13" s="101">
        <f t="shared" si="1"/>
        <v>0.10631973328321337</v>
      </c>
      <c r="E13" s="100">
        <f>+SSP!C13</f>
        <v>3134383.7</v>
      </c>
      <c r="F13" s="100">
        <f>+SSP!E13</f>
        <v>21063.73</v>
      </c>
      <c r="G13" s="100">
        <f>+SSP!G13</f>
        <v>543554.9299999999</v>
      </c>
      <c r="H13" s="100">
        <f>+SSP!I13</f>
        <v>2941.56</v>
      </c>
      <c r="I13" s="100">
        <f>+SSP!K13</f>
        <v>0</v>
      </c>
      <c r="J13" s="100">
        <f>+SSP!M13</f>
        <v>26548.58</v>
      </c>
      <c r="K13" s="100">
        <f>+SSP!O13</f>
        <v>1544219.8000000003</v>
      </c>
      <c r="L13" s="102">
        <f t="shared" si="2"/>
        <v>44320266.69999999</v>
      </c>
    </row>
    <row r="14" spans="1:12" ht="16.5">
      <c r="A14" s="156" t="s">
        <v>119</v>
      </c>
      <c r="B14" s="100">
        <f>+CULTURA!P9+CULTURA!Q9</f>
        <v>5844393</v>
      </c>
      <c r="C14" s="100">
        <f t="shared" si="0"/>
        <v>398274.81</v>
      </c>
      <c r="D14" s="101">
        <f t="shared" si="1"/>
        <v>0.06814647988251303</v>
      </c>
      <c r="E14" s="100">
        <f>+CULTURA!C9</f>
        <v>183022.5</v>
      </c>
      <c r="F14" s="100">
        <f>+CULTURA!E9</f>
        <v>0</v>
      </c>
      <c r="G14" s="100">
        <f>+CULTURA!G9</f>
        <v>60874</v>
      </c>
      <c r="H14" s="100">
        <f>+CULTURA!I9</f>
        <v>14160</v>
      </c>
      <c r="I14" s="100">
        <f>+CULTURA!K9</f>
        <v>0</v>
      </c>
      <c r="J14" s="100">
        <f>+CULTURA!M9</f>
        <v>0</v>
      </c>
      <c r="K14" s="100">
        <f>+CULTURA!O9</f>
        <v>140218.31</v>
      </c>
      <c r="L14" s="102">
        <f t="shared" si="2"/>
        <v>5446118.19</v>
      </c>
    </row>
    <row r="15" spans="1:12" ht="16.5">
      <c r="A15" s="156" t="s">
        <v>120</v>
      </c>
      <c r="B15" s="100">
        <f>+DEPORTES!P12+DEPORTES!Q12</f>
        <v>6880829</v>
      </c>
      <c r="C15" s="100">
        <f t="shared" si="0"/>
        <v>471792.82</v>
      </c>
      <c r="D15" s="101">
        <f t="shared" si="1"/>
        <v>0.06856627595308647</v>
      </c>
      <c r="E15" s="100">
        <f>+DEPORTES!C12</f>
        <v>193220.95</v>
      </c>
      <c r="F15" s="100">
        <f>+DEPORTES!E12</f>
        <v>827.3199999999999</v>
      </c>
      <c r="G15" s="100">
        <f>+DEPORTES!G12</f>
        <v>125664</v>
      </c>
      <c r="H15" s="100">
        <f>+DEPORTES!I12</f>
        <v>0</v>
      </c>
      <c r="I15" s="100">
        <f>+DEPORTES!K12</f>
        <v>0</v>
      </c>
      <c r="J15" s="100">
        <f>+DEPORTES!M12</f>
        <v>0</v>
      </c>
      <c r="K15" s="100">
        <f>+DEPORTES!O12</f>
        <v>152080.55</v>
      </c>
      <c r="L15" s="102">
        <f t="shared" si="2"/>
        <v>6409036.18</v>
      </c>
    </row>
    <row r="16" spans="1:12" ht="17.25">
      <c r="A16" s="16" t="s">
        <v>11</v>
      </c>
      <c r="B16" s="11">
        <f>SUM(B5:B15)</f>
        <v>205073414</v>
      </c>
      <c r="C16" s="11">
        <f>SUM(C5:C15)</f>
        <v>18809113.34</v>
      </c>
      <c r="D16" s="12">
        <f>+C16/B16</f>
        <v>0.09171892627681129</v>
      </c>
      <c r="E16" s="11">
        <f aca="true" t="shared" si="3" ref="E16:L16">SUM(E5:E15)</f>
        <v>7922178.16</v>
      </c>
      <c r="F16" s="11">
        <f t="shared" si="3"/>
        <v>309575.74</v>
      </c>
      <c r="G16" s="11">
        <f t="shared" si="3"/>
        <v>2820652.8899999997</v>
      </c>
      <c r="H16" s="11">
        <f t="shared" si="3"/>
        <v>213668.78999999998</v>
      </c>
      <c r="I16" s="11">
        <f t="shared" si="3"/>
        <v>0</v>
      </c>
      <c r="J16" s="11">
        <f t="shared" si="3"/>
        <v>418697.74</v>
      </c>
      <c r="K16" s="11">
        <f t="shared" si="3"/>
        <v>7124340.02</v>
      </c>
      <c r="L16" s="18">
        <f t="shared" si="3"/>
        <v>186264300.66</v>
      </c>
    </row>
    <row r="17" spans="1:12" ht="18" thickBot="1">
      <c r="A17" s="15" t="s">
        <v>51</v>
      </c>
      <c r="B17" s="6"/>
      <c r="C17" s="7"/>
      <c r="D17" s="8"/>
      <c r="E17" s="13">
        <f>+E16/100020753</f>
        <v>0.07920534411493584</v>
      </c>
      <c r="F17" s="14">
        <f>+F16/8041736</f>
        <v>0.038496133173235234</v>
      </c>
      <c r="G17" s="14">
        <f>+G16/34644277</f>
        <v>0.08141757121962741</v>
      </c>
      <c r="H17" s="14">
        <f>+H16/12354215</f>
        <v>0.017295213819736824</v>
      </c>
      <c r="I17" s="14">
        <f>+I16/7936243</f>
        <v>0</v>
      </c>
      <c r="J17" s="14">
        <f>+J16/31946190</f>
        <v>0.013106343510759812</v>
      </c>
      <c r="K17" s="14">
        <f>+K16/10130000</f>
        <v>0.7032912161895359</v>
      </c>
      <c r="L17" s="9"/>
    </row>
    <row r="18" spans="2:12" ht="17.25" thickTop="1">
      <c r="B18" s="5"/>
      <c r="C18" s="51"/>
      <c r="D18" s="5"/>
      <c r="E18" s="77"/>
      <c r="F18" s="77"/>
      <c r="G18" s="77"/>
      <c r="H18" s="77"/>
      <c r="I18" s="77"/>
      <c r="J18" s="77"/>
      <c r="K18" s="77"/>
      <c r="L18" s="5"/>
    </row>
    <row r="19" spans="8:11" ht="16.5">
      <c r="H19" s="5"/>
      <c r="I19" s="5"/>
      <c r="J19" s="5"/>
      <c r="K19" s="126" t="s">
        <v>52</v>
      </c>
    </row>
    <row r="20" ht="16.5">
      <c r="K20" s="127" t="s">
        <v>53</v>
      </c>
    </row>
    <row r="21" ht="16.5">
      <c r="K21" s="126"/>
    </row>
    <row r="22" ht="16.5">
      <c r="K22" s="150" t="s">
        <v>54</v>
      </c>
    </row>
    <row r="23" ht="16.5">
      <c r="K23" s="126"/>
    </row>
    <row r="24" ht="16.5">
      <c r="K24" s="128" t="s">
        <v>55</v>
      </c>
    </row>
    <row r="25" ht="16.5">
      <c r="K25" s="126"/>
    </row>
    <row r="26" ht="16.5">
      <c r="K26" s="133" t="s">
        <v>56</v>
      </c>
    </row>
    <row r="27" ht="16.5">
      <c r="K27" s="126"/>
    </row>
    <row r="28" ht="16.5">
      <c r="K28" s="129" t="s">
        <v>57</v>
      </c>
    </row>
    <row r="29" ht="16.5">
      <c r="K29" s="126"/>
    </row>
    <row r="30" ht="16.5">
      <c r="K30" s="130" t="s">
        <v>58</v>
      </c>
    </row>
    <row r="31" ht="16.5">
      <c r="K31" s="126"/>
    </row>
    <row r="32" ht="16.5">
      <c r="K32" s="131" t="s">
        <v>59</v>
      </c>
    </row>
    <row r="33" ht="16.5">
      <c r="K33" s="126"/>
    </row>
    <row r="34" ht="16.5">
      <c r="K34" s="132" t="s">
        <v>60</v>
      </c>
    </row>
    <row r="60" spans="5:13" ht="16.5">
      <c r="E60" s="1" t="s">
        <v>60</v>
      </c>
      <c r="F60" s="1" t="s">
        <v>59</v>
      </c>
      <c r="G60" s="1" t="s">
        <v>58</v>
      </c>
      <c r="H60" s="1" t="s">
        <v>61</v>
      </c>
      <c r="I60" s="1" t="s">
        <v>62</v>
      </c>
      <c r="J60" s="1" t="s">
        <v>63</v>
      </c>
      <c r="K60" s="1" t="s">
        <v>54</v>
      </c>
      <c r="L60" s="1" t="s">
        <v>64</v>
      </c>
      <c r="M60" s="1" t="s">
        <v>65</v>
      </c>
    </row>
    <row r="61" spans="1:13" ht="16.5">
      <c r="A61" s="1" t="s">
        <v>66</v>
      </c>
      <c r="E61" s="10">
        <f>+E5/B5</f>
        <v>0.0244846497751885</v>
      </c>
      <c r="F61" s="10">
        <f aca="true" t="shared" si="4" ref="F61:L61">+F5/$B$5</f>
        <v>9.694102616189479E-05</v>
      </c>
      <c r="G61" s="10">
        <f t="shared" si="4"/>
        <v>0.002022455997584555</v>
      </c>
      <c r="H61" s="10">
        <f t="shared" si="4"/>
        <v>0.0027807047679675205</v>
      </c>
      <c r="I61" s="10">
        <f t="shared" si="4"/>
        <v>0</v>
      </c>
      <c r="J61" s="10">
        <f t="shared" si="4"/>
        <v>0.00047981605771611394</v>
      </c>
      <c r="K61" s="10">
        <f t="shared" si="4"/>
        <v>0.02132761264641587</v>
      </c>
      <c r="L61" s="10">
        <f t="shared" si="4"/>
        <v>0.9488078197289656</v>
      </c>
      <c r="M61" s="10">
        <f>SUM(E61:L61)</f>
        <v>1</v>
      </c>
    </row>
    <row r="62" spans="1:13" ht="16.5">
      <c r="A62" s="1" t="s">
        <v>93</v>
      </c>
      <c r="E62" s="10">
        <f>+E6/B6</f>
        <v>0.041030092752088965</v>
      </c>
      <c r="F62" s="10">
        <f>+F6/B6</f>
        <v>5.946784330066998E-05</v>
      </c>
      <c r="G62" s="10">
        <f>+G6/B6</f>
        <v>0.008502746719958385</v>
      </c>
      <c r="H62" s="10">
        <f>+H6/B6</f>
        <v>0.000436974539104888</v>
      </c>
      <c r="I62" s="10">
        <f>+I6/B6</f>
        <v>0</v>
      </c>
      <c r="J62" s="10">
        <f>+J6/B6</f>
        <v>0</v>
      </c>
      <c r="K62" s="10">
        <f>+K6/B6</f>
        <v>0.03767250195229168</v>
      </c>
      <c r="L62" s="10">
        <f>+L6/B6</f>
        <v>0.9122982161932554</v>
      </c>
      <c r="M62" s="10">
        <f>SUM(E62:L62)</f>
        <v>1</v>
      </c>
    </row>
    <row r="63" spans="1:13" ht="16.5">
      <c r="A63" s="1" t="s">
        <v>94</v>
      </c>
      <c r="E63" s="10">
        <f>+E7/B7</f>
        <v>0.03567435043128361</v>
      </c>
      <c r="F63" s="10">
        <f>+F7/B7</f>
        <v>0.020401489052394597</v>
      </c>
      <c r="G63" s="10">
        <f>+G7/B7</f>
        <v>0.0014835842379695289</v>
      </c>
      <c r="H63" s="10">
        <f>+H7/B7</f>
        <v>0</v>
      </c>
      <c r="I63" s="10">
        <f>+I7/B7</f>
        <v>0</v>
      </c>
      <c r="J63" s="10">
        <f>+J7/B7</f>
        <v>0</v>
      </c>
      <c r="K63" s="10">
        <f>+K7/B7</f>
        <v>0.03014891032273961</v>
      </c>
      <c r="L63" s="10">
        <f>+L7/B7</f>
        <v>0.9122916659556126</v>
      </c>
      <c r="M63" s="10">
        <f>SUM(E63:L63)</f>
        <v>1</v>
      </c>
    </row>
    <row r="64" spans="1:13" ht="16.5">
      <c r="A64" s="1" t="s">
        <v>67</v>
      </c>
      <c r="E64" s="10">
        <f aca="true" t="shared" si="5" ref="E64:L64">+E8/$B$8</f>
        <v>0.03515150217742126</v>
      </c>
      <c r="F64" s="10">
        <f t="shared" si="5"/>
        <v>1.8319875272396484E-05</v>
      </c>
      <c r="G64" s="10">
        <f t="shared" si="5"/>
        <v>0.01601822857766497</v>
      </c>
      <c r="H64" s="10">
        <f t="shared" si="5"/>
        <v>0.004686108455488898</v>
      </c>
      <c r="I64" s="10">
        <f t="shared" si="5"/>
        <v>0</v>
      </c>
      <c r="J64" s="10">
        <f t="shared" si="5"/>
        <v>0</v>
      </c>
      <c r="K64" s="10">
        <f t="shared" si="5"/>
        <v>0.03062945965721116</v>
      </c>
      <c r="L64" s="10">
        <f t="shared" si="5"/>
        <v>0.9134963812569413</v>
      </c>
      <c r="M64" s="10">
        <f aca="true" t="shared" si="6" ref="M64:M71">SUM(E64:L64)</f>
        <v>1</v>
      </c>
    </row>
    <row r="65" spans="1:13" ht="16.5">
      <c r="A65" s="1" t="s">
        <v>68</v>
      </c>
      <c r="E65" s="10">
        <f>+E9/$B$9</f>
        <v>0.009865214559420367</v>
      </c>
      <c r="F65" s="10">
        <f aca="true" t="shared" si="7" ref="F65:L65">+F9/$B$9</f>
        <v>5.008747389001705E-05</v>
      </c>
      <c r="G65" s="10">
        <f t="shared" si="7"/>
        <v>0.0017143741302724734</v>
      </c>
      <c r="H65" s="10">
        <f t="shared" si="7"/>
        <v>0</v>
      </c>
      <c r="I65" s="10">
        <f t="shared" si="7"/>
        <v>0</v>
      </c>
      <c r="J65" s="10">
        <f t="shared" si="7"/>
        <v>0.00900360319217238</v>
      </c>
      <c r="K65" s="10">
        <f t="shared" si="7"/>
        <v>0.019327576732119562</v>
      </c>
      <c r="L65" s="10">
        <f t="shared" si="7"/>
        <v>0.9600391439121252</v>
      </c>
      <c r="M65" s="10">
        <f t="shared" si="6"/>
        <v>1</v>
      </c>
    </row>
    <row r="66" spans="1:13" ht="16.5">
      <c r="A66" s="1" t="s">
        <v>71</v>
      </c>
      <c r="E66" s="10">
        <f>+E10/$B$10</f>
        <v>0.05149297825349049</v>
      </c>
      <c r="F66" s="10">
        <f aca="true" t="shared" si="8" ref="F66:L66">+F10/$B$10</f>
        <v>7.961077708314862E-05</v>
      </c>
      <c r="G66" s="10">
        <f t="shared" si="8"/>
        <v>0.04941627809340765</v>
      </c>
      <c r="H66" s="10">
        <f t="shared" si="8"/>
        <v>0</v>
      </c>
      <c r="I66" s="10">
        <f t="shared" si="8"/>
        <v>0</v>
      </c>
      <c r="J66" s="10">
        <f t="shared" si="8"/>
        <v>0</v>
      </c>
      <c r="K66" s="10">
        <f t="shared" si="8"/>
        <v>0.08020445863597689</v>
      </c>
      <c r="L66" s="10">
        <f t="shared" si="8"/>
        <v>0.8188066742400418</v>
      </c>
      <c r="M66" s="10">
        <f t="shared" si="6"/>
        <v>1</v>
      </c>
    </row>
    <row r="67" spans="1:13" ht="16.5">
      <c r="A67" s="1" t="s">
        <v>69</v>
      </c>
      <c r="E67" s="10">
        <f>+E11/$B$11</f>
        <v>0.045904874967573596</v>
      </c>
      <c r="F67" s="10">
        <f aca="true" t="shared" si="9" ref="F67:L67">+F11/$B$11</f>
        <v>0</v>
      </c>
      <c r="G67" s="10">
        <f t="shared" si="9"/>
        <v>0</v>
      </c>
      <c r="H67" s="10">
        <f t="shared" si="9"/>
        <v>0.00758018235955362</v>
      </c>
      <c r="I67" s="10">
        <f t="shared" si="9"/>
        <v>0</v>
      </c>
      <c r="J67" s="10">
        <f t="shared" si="9"/>
        <v>0</v>
      </c>
      <c r="K67" s="10">
        <f t="shared" si="9"/>
        <v>0.036196545524260465</v>
      </c>
      <c r="L67" s="10">
        <f t="shared" si="9"/>
        <v>0.9103183971486123</v>
      </c>
      <c r="M67" s="10">
        <f t="shared" si="6"/>
        <v>1</v>
      </c>
    </row>
    <row r="68" spans="1:13" ht="16.5">
      <c r="A68" s="1" t="s">
        <v>97</v>
      </c>
      <c r="E68" s="10">
        <f>+E12/$B$12</f>
        <v>0.05002418969348242</v>
      </c>
      <c r="F68" s="10">
        <f aca="true" t="shared" si="10" ref="F68:L68">+F12/$B$12</f>
        <v>0</v>
      </c>
      <c r="G68" s="10">
        <f t="shared" si="10"/>
        <v>0.010193834383252356</v>
      </c>
      <c r="H68" s="10">
        <f t="shared" si="10"/>
        <v>0</v>
      </c>
      <c r="I68" s="10">
        <f t="shared" si="10"/>
        <v>0</v>
      </c>
      <c r="J68" s="10">
        <f t="shared" si="10"/>
        <v>0</v>
      </c>
      <c r="K68" s="10">
        <f t="shared" si="10"/>
        <v>0.048422325048317394</v>
      </c>
      <c r="L68" s="10">
        <f t="shared" si="10"/>
        <v>0.891359650874948</v>
      </c>
      <c r="M68" s="10">
        <f t="shared" si="6"/>
        <v>1.0000000000000002</v>
      </c>
    </row>
    <row r="69" spans="1:13" ht="16.5">
      <c r="A69" s="1" t="s">
        <v>72</v>
      </c>
      <c r="E69" s="10">
        <f>+E13/$B$13</f>
        <v>0.06320216617759543</v>
      </c>
      <c r="F69" s="10">
        <f aca="true" t="shared" si="11" ref="F69:L69">+F13/$B$13</f>
        <v>0.00042473209766245347</v>
      </c>
      <c r="G69" s="10">
        <f t="shared" si="11"/>
        <v>0.010960320209842608</v>
      </c>
      <c r="H69" s="10">
        <f t="shared" si="11"/>
        <v>5.931404120732494E-05</v>
      </c>
      <c r="I69" s="10">
        <f t="shared" si="11"/>
        <v>0</v>
      </c>
      <c r="J69" s="10">
        <f t="shared" si="11"/>
        <v>0.0005353294062048582</v>
      </c>
      <c r="K69" s="10">
        <f t="shared" si="11"/>
        <v>0.03113787135070068</v>
      </c>
      <c r="L69" s="10">
        <f t="shared" si="11"/>
        <v>0.8936802667167866</v>
      </c>
      <c r="M69" s="10">
        <f t="shared" si="6"/>
        <v>1</v>
      </c>
    </row>
    <row r="70" spans="1:13" ht="16.5">
      <c r="A70" s="1" t="s">
        <v>73</v>
      </c>
      <c r="E70" s="10">
        <f>+E14/$B$14</f>
        <v>0.03131591253360272</v>
      </c>
      <c r="F70" s="10">
        <f aca="true" t="shared" si="12" ref="F70:L70">+F14/$B$14</f>
        <v>0</v>
      </c>
      <c r="G70" s="10">
        <f t="shared" si="12"/>
        <v>0.010415795104812425</v>
      </c>
      <c r="H70" s="10">
        <f t="shared" si="12"/>
        <v>0.0024228350146884375</v>
      </c>
      <c r="I70" s="10">
        <f t="shared" si="12"/>
        <v>0</v>
      </c>
      <c r="J70" s="10">
        <f t="shared" si="12"/>
        <v>0</v>
      </c>
      <c r="K70" s="10">
        <f t="shared" si="12"/>
        <v>0.02399193722940945</v>
      </c>
      <c r="L70" s="10">
        <f t="shared" si="12"/>
        <v>0.931853520117487</v>
      </c>
      <c r="M70" s="10">
        <f t="shared" si="6"/>
        <v>1</v>
      </c>
    </row>
    <row r="71" spans="1:13" ht="16.5">
      <c r="A71" s="1" t="s">
        <v>70</v>
      </c>
      <c r="E71" s="10">
        <f>+E15/$B$15</f>
        <v>0.028081056802893956</v>
      </c>
      <c r="F71" s="10">
        <f aca="true" t="shared" si="13" ref="F71:L71">+F15/$B$15</f>
        <v>0.00012023551231980912</v>
      </c>
      <c r="G71" s="10">
        <f t="shared" si="13"/>
        <v>0.01826291570390719</v>
      </c>
      <c r="H71" s="10">
        <f t="shared" si="13"/>
        <v>0</v>
      </c>
      <c r="I71" s="10">
        <f t="shared" si="13"/>
        <v>0</v>
      </c>
      <c r="J71" s="10">
        <f t="shared" si="13"/>
        <v>0</v>
      </c>
      <c r="K71" s="10">
        <f t="shared" si="13"/>
        <v>0.022102067933965512</v>
      </c>
      <c r="L71" s="10">
        <f t="shared" si="13"/>
        <v>0.9314337240469135</v>
      </c>
      <c r="M71" s="10">
        <f t="shared" si="6"/>
        <v>1</v>
      </c>
    </row>
  </sheetData>
  <sheetProtection/>
  <mergeCells count="1">
    <mergeCell ref="E3:K3"/>
  </mergeCells>
  <printOptions horizontalCentered="1"/>
  <pageMargins left="0.7480314960629921" right="0.2362204724409449" top="0.7480314960629921" bottom="0.2362204724409449" header="0.3937007874015748" footer="0"/>
  <pageSetup horizontalDpi="600" verticalDpi="600" orientation="landscape" paperSize="5" r:id="rId2"/>
  <headerFooter alignWithMargins="0">
    <oddHeader>&amp;C&amp;"Palatino Linotype,Negrita"&amp;8CONTADURIA MUNICIPAL&amp;"Garamond,Normal"&amp;11
&amp;"Haettenschweiler,Normal"&amp;9Presupuesto vs. Ejecución Presupuestaria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7"/>
  <sheetViews>
    <sheetView zoomScalePageLayoutView="0" workbookViewId="0" topLeftCell="A1">
      <selection activeCell="K19" sqref="K19:M19"/>
    </sheetView>
  </sheetViews>
  <sheetFormatPr defaultColWidth="11.421875" defaultRowHeight="15"/>
  <cols>
    <col min="1" max="1" width="18.7109375" style="1" customWidth="1"/>
    <col min="2" max="2" width="9.28125" style="1" customWidth="1"/>
    <col min="3" max="3" width="10.7109375" style="1" customWidth="1"/>
    <col min="4" max="4" width="7.7109375" style="1" customWidth="1"/>
    <col min="5" max="5" width="9.421875" style="1" customWidth="1"/>
    <col min="6" max="6" width="9.28125" style="1" customWidth="1"/>
    <col min="7" max="7" width="10.8515625" style="1" customWidth="1"/>
    <col min="8" max="8" width="7.7109375" style="1" customWidth="1"/>
    <col min="9" max="9" width="10.7109375" style="1" customWidth="1"/>
    <col min="10" max="10" width="8.421875" style="1" customWidth="1"/>
    <col min="11" max="11" width="10.8515625" style="1" customWidth="1"/>
    <col min="12" max="12" width="7.8515625" style="1" customWidth="1"/>
    <col min="13" max="13" width="9.57421875" style="1" customWidth="1"/>
    <col min="14" max="14" width="7.8515625" style="1" customWidth="1"/>
    <col min="15" max="15" width="10.7109375" style="1" customWidth="1"/>
    <col min="16" max="16" width="12.57421875" style="1" customWidth="1"/>
    <col min="17" max="17" width="13.57421875" style="1" customWidth="1"/>
    <col min="18" max="18" width="11.421875" style="1" customWidth="1"/>
    <col min="19" max="19" width="13.8515625" style="1" bestFit="1" customWidth="1"/>
    <col min="20" max="16384" width="11.421875" style="1" customWidth="1"/>
  </cols>
  <sheetData>
    <row r="2" spans="1:15" ht="18">
      <c r="A2" s="144" t="s">
        <v>0</v>
      </c>
      <c r="B2" s="168" t="s">
        <v>104</v>
      </c>
      <c r="C2" s="168"/>
      <c r="D2" s="173"/>
      <c r="E2" s="173"/>
      <c r="I2" s="20" t="s">
        <v>23</v>
      </c>
      <c r="J2" s="20"/>
      <c r="K2" s="149">
        <v>41275</v>
      </c>
      <c r="L2" s="120"/>
      <c r="M2" s="120"/>
      <c r="O2" s="19"/>
    </row>
    <row r="3" spans="2:4" ht="6.75" customHeight="1">
      <c r="B3" s="174"/>
      <c r="C3" s="174"/>
      <c r="D3" s="66"/>
    </row>
    <row r="4" ht="17.25" thickBot="1"/>
    <row r="5" spans="1:17" ht="17.25">
      <c r="A5" s="24"/>
      <c r="B5" s="175" t="s">
        <v>1</v>
      </c>
      <c r="C5" s="176"/>
      <c r="D5" s="175" t="s">
        <v>2</v>
      </c>
      <c r="E5" s="176"/>
      <c r="F5" s="175" t="s">
        <v>3</v>
      </c>
      <c r="G5" s="176"/>
      <c r="H5" s="175" t="s">
        <v>4</v>
      </c>
      <c r="I5" s="176"/>
      <c r="J5" s="175" t="s">
        <v>32</v>
      </c>
      <c r="K5" s="176"/>
      <c r="L5" s="175" t="s">
        <v>36</v>
      </c>
      <c r="M5" s="176"/>
      <c r="N5" s="175" t="s">
        <v>33</v>
      </c>
      <c r="O5" s="176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4" t="s">
        <v>25</v>
      </c>
      <c r="Q6" s="29" t="s">
        <v>39</v>
      </c>
    </row>
    <row r="7" spans="1:19" ht="17.25">
      <c r="A7" s="30" t="s">
        <v>14</v>
      </c>
      <c r="B7" s="67">
        <v>1587422</v>
      </c>
      <c r="C7" s="32">
        <f>79365.36+7041.51</f>
        <v>86406.87</v>
      </c>
      <c r="D7" s="67">
        <v>31000</v>
      </c>
      <c r="E7" s="32">
        <v>643.09</v>
      </c>
      <c r="F7" s="67">
        <v>899025</v>
      </c>
      <c r="G7" s="32">
        <f>14639.01+2857.36</f>
        <v>17496.37</v>
      </c>
      <c r="H7" s="67">
        <v>534660</v>
      </c>
      <c r="I7" s="32">
        <v>2286</v>
      </c>
      <c r="J7" s="67">
        <v>13500</v>
      </c>
      <c r="K7" s="32">
        <v>0</v>
      </c>
      <c r="L7" s="67">
        <v>0</v>
      </c>
      <c r="M7" s="32">
        <v>0</v>
      </c>
      <c r="N7" s="67">
        <v>700000</v>
      </c>
      <c r="O7" s="32">
        <v>215474.94</v>
      </c>
      <c r="P7" s="33">
        <f>+O7+K7+I7+G7+E7+C7+M7</f>
        <v>322307.27</v>
      </c>
      <c r="Q7" s="33">
        <f>+B7+D7+F7+H7+J7+N7-P7+L7</f>
        <v>3443299.73</v>
      </c>
      <c r="S7" s="5"/>
    </row>
    <row r="8" spans="1:19" ht="17.25">
      <c r="A8" s="30" t="s">
        <v>128</v>
      </c>
      <c r="B8" s="67">
        <v>213552</v>
      </c>
      <c r="C8" s="32">
        <v>21032.57</v>
      </c>
      <c r="D8" s="67">
        <v>3000</v>
      </c>
      <c r="E8" s="32">
        <v>0</v>
      </c>
      <c r="F8" s="67">
        <v>33000</v>
      </c>
      <c r="G8" s="32">
        <v>0</v>
      </c>
      <c r="H8" s="67">
        <v>10500</v>
      </c>
      <c r="I8" s="32">
        <v>0</v>
      </c>
      <c r="J8" s="67">
        <v>0</v>
      </c>
      <c r="K8" s="32">
        <v>0</v>
      </c>
      <c r="L8" s="67">
        <v>0</v>
      </c>
      <c r="M8" s="32">
        <v>0</v>
      </c>
      <c r="N8" s="67">
        <v>0</v>
      </c>
      <c r="O8" s="36">
        <v>0</v>
      </c>
      <c r="P8" s="33">
        <f>+O8+K8+I8+G8+E8+C8+M8</f>
        <v>21032.57</v>
      </c>
      <c r="Q8" s="33">
        <f>+B8+D8+F8+H8+J8+N8-P8</f>
        <v>239019.43</v>
      </c>
      <c r="S8" s="5"/>
    </row>
    <row r="9" spans="1:19" ht="17.25">
      <c r="A9" s="30" t="s">
        <v>129</v>
      </c>
      <c r="B9" s="67">
        <v>364780</v>
      </c>
      <c r="C9" s="32">
        <v>36321.8</v>
      </c>
      <c r="D9" s="67">
        <v>16000</v>
      </c>
      <c r="E9" s="32">
        <v>0</v>
      </c>
      <c r="F9" s="67">
        <v>15000</v>
      </c>
      <c r="G9" s="32">
        <v>0</v>
      </c>
      <c r="H9" s="67">
        <v>0</v>
      </c>
      <c r="I9" s="32">
        <v>0</v>
      </c>
      <c r="J9" s="67">
        <v>8000</v>
      </c>
      <c r="K9" s="32">
        <v>0</v>
      </c>
      <c r="L9" s="67">
        <v>0</v>
      </c>
      <c r="M9" s="32">
        <v>0</v>
      </c>
      <c r="N9" s="67">
        <v>0</v>
      </c>
      <c r="O9" s="36">
        <v>0</v>
      </c>
      <c r="P9" s="33">
        <f>+O9+K9+I9+G9+E9+C9+M9</f>
        <v>36321.8</v>
      </c>
      <c r="Q9" s="33">
        <f>+B9+D9+F9+H9+J9+N9-P9</f>
        <v>367458.2</v>
      </c>
      <c r="S9" s="5"/>
    </row>
    <row r="10" spans="1:17" ht="17.25">
      <c r="A10" s="30" t="s">
        <v>126</v>
      </c>
      <c r="B10" s="67">
        <v>0</v>
      </c>
      <c r="C10" s="32">
        <v>0</v>
      </c>
      <c r="D10" s="67">
        <v>5000</v>
      </c>
      <c r="E10" s="32">
        <v>0</v>
      </c>
      <c r="F10" s="67">
        <v>432400</v>
      </c>
      <c r="G10" s="32">
        <v>0</v>
      </c>
      <c r="H10" s="67">
        <v>0</v>
      </c>
      <c r="I10" s="32">
        <v>0</v>
      </c>
      <c r="J10" s="67">
        <v>3000</v>
      </c>
      <c r="K10" s="32">
        <v>0</v>
      </c>
      <c r="L10" s="67">
        <v>0</v>
      </c>
      <c r="M10" s="32">
        <v>0</v>
      </c>
      <c r="N10" s="67">
        <v>0</v>
      </c>
      <c r="O10" s="36">
        <v>0</v>
      </c>
      <c r="P10" s="33">
        <f>+O10+K10+I10+G10+E10+C10+M10</f>
        <v>0</v>
      </c>
      <c r="Q10" s="33">
        <f>+B10+D10+F10+H10+J10+N10-P10</f>
        <v>440400</v>
      </c>
    </row>
    <row r="11" spans="1:17" ht="17.25">
      <c r="A11" s="30" t="s">
        <v>83</v>
      </c>
      <c r="B11" s="67">
        <v>439349</v>
      </c>
      <c r="C11" s="32">
        <v>24087.17</v>
      </c>
      <c r="D11" s="67">
        <v>0</v>
      </c>
      <c r="E11" s="32">
        <v>0</v>
      </c>
      <c r="F11" s="67">
        <v>20000</v>
      </c>
      <c r="G11" s="32">
        <v>0</v>
      </c>
      <c r="H11" s="67">
        <v>0</v>
      </c>
      <c r="I11" s="32">
        <v>0</v>
      </c>
      <c r="J11" s="67">
        <v>0</v>
      </c>
      <c r="K11" s="32">
        <v>0</v>
      </c>
      <c r="L11" s="67">
        <v>0</v>
      </c>
      <c r="M11" s="32">
        <v>0</v>
      </c>
      <c r="N11" s="67">
        <v>0</v>
      </c>
      <c r="O11" s="36">
        <v>16805.43</v>
      </c>
      <c r="P11" s="33">
        <f>+O11+K11+I11+G11+E11+C11</f>
        <v>40892.6</v>
      </c>
      <c r="Q11" s="33">
        <f>+B11+D11+F11+H11+J11+N11-P11</f>
        <v>418456.4</v>
      </c>
    </row>
    <row r="12" spans="1:17" ht="17.25">
      <c r="A12" s="30" t="s">
        <v>84</v>
      </c>
      <c r="B12" s="67">
        <v>634617</v>
      </c>
      <c r="C12" s="32">
        <v>38995.01</v>
      </c>
      <c r="D12" s="67">
        <v>0</v>
      </c>
      <c r="E12" s="32">
        <v>0</v>
      </c>
      <c r="F12" s="67">
        <v>257000</v>
      </c>
      <c r="G12" s="32">
        <v>75291.4</v>
      </c>
      <c r="H12" s="67">
        <v>0</v>
      </c>
      <c r="I12" s="32">
        <v>0</v>
      </c>
      <c r="J12" s="67">
        <v>30000</v>
      </c>
      <c r="K12" s="32">
        <v>0</v>
      </c>
      <c r="L12" s="67">
        <v>0</v>
      </c>
      <c r="M12" s="32">
        <v>0</v>
      </c>
      <c r="N12" s="67">
        <v>0</v>
      </c>
      <c r="O12" s="36">
        <v>27246.23</v>
      </c>
      <c r="P12" s="33">
        <f>+O12+K12+I12+G12+E12+C12+M12</f>
        <v>141532.63999999998</v>
      </c>
      <c r="Q12" s="33">
        <f aca="true" t="shared" si="0" ref="Q12:Q17">+B12+D12+F12+H12+J12+N12-P12</f>
        <v>780084.36</v>
      </c>
    </row>
    <row r="13" spans="1:17" ht="17.25">
      <c r="A13" s="30" t="s">
        <v>74</v>
      </c>
      <c r="B13" s="67">
        <v>1273193</v>
      </c>
      <c r="C13" s="32">
        <f>44319.06+29807.93+9745.39+2283.08</f>
        <v>86155.45999999999</v>
      </c>
      <c r="D13" s="67">
        <v>12000</v>
      </c>
      <c r="E13" s="32">
        <v>0</v>
      </c>
      <c r="F13" s="67">
        <v>56933</v>
      </c>
      <c r="G13" s="32">
        <v>1800</v>
      </c>
      <c r="H13" s="67">
        <v>0</v>
      </c>
      <c r="I13" s="32">
        <v>0</v>
      </c>
      <c r="J13" s="67">
        <v>6200</v>
      </c>
      <c r="K13" s="32">
        <v>0</v>
      </c>
      <c r="L13" s="67">
        <v>0</v>
      </c>
      <c r="M13" s="32">
        <v>0</v>
      </c>
      <c r="N13" s="67">
        <v>0</v>
      </c>
      <c r="O13" s="36">
        <v>58537.83</v>
      </c>
      <c r="P13" s="33">
        <f>+O13+K13+I13+G13+E13+C13+M13</f>
        <v>146493.28999999998</v>
      </c>
      <c r="Q13" s="33">
        <f t="shared" si="0"/>
        <v>1201832.71</v>
      </c>
    </row>
    <row r="14" spans="1:17" ht="17.25">
      <c r="A14" s="30" t="s">
        <v>105</v>
      </c>
      <c r="B14" s="67">
        <v>1473070</v>
      </c>
      <c r="C14" s="32">
        <v>87699.05</v>
      </c>
      <c r="D14" s="67">
        <v>28000</v>
      </c>
      <c r="E14" s="32">
        <v>0</v>
      </c>
      <c r="F14" s="67">
        <v>129300</v>
      </c>
      <c r="G14" s="32">
        <v>0</v>
      </c>
      <c r="H14" s="67">
        <v>0</v>
      </c>
      <c r="I14" s="32">
        <v>0</v>
      </c>
      <c r="J14" s="67">
        <v>20100</v>
      </c>
      <c r="K14" s="32">
        <v>0</v>
      </c>
      <c r="L14" s="67">
        <v>0</v>
      </c>
      <c r="M14" s="32">
        <v>0</v>
      </c>
      <c r="N14" s="67">
        <v>0</v>
      </c>
      <c r="O14" s="36">
        <v>76936.94</v>
      </c>
      <c r="P14" s="33">
        <f>+O14+K14+I14+G14+E14+C14+M14</f>
        <v>164635.99</v>
      </c>
      <c r="Q14" s="33">
        <f t="shared" si="0"/>
        <v>1485834.01</v>
      </c>
    </row>
    <row r="15" spans="1:17" ht="17.25">
      <c r="A15" s="30" t="s">
        <v>130</v>
      </c>
      <c r="B15" s="67">
        <v>756638</v>
      </c>
      <c r="C15" s="32">
        <v>45843.71</v>
      </c>
      <c r="D15" s="67">
        <v>7200</v>
      </c>
      <c r="E15" s="32">
        <v>0</v>
      </c>
      <c r="F15" s="67">
        <v>236217</v>
      </c>
      <c r="G15" s="32">
        <v>0</v>
      </c>
      <c r="H15" s="67">
        <v>0</v>
      </c>
      <c r="I15" s="32">
        <v>0</v>
      </c>
      <c r="J15" s="67">
        <v>5750</v>
      </c>
      <c r="K15" s="32">
        <v>0</v>
      </c>
      <c r="L15" s="67">
        <v>0</v>
      </c>
      <c r="M15" s="32">
        <v>0</v>
      </c>
      <c r="N15" s="67">
        <v>0</v>
      </c>
      <c r="O15" s="36">
        <v>36629.61</v>
      </c>
      <c r="P15" s="33">
        <f>+O15+K15+I15+G15+E15+C15+M15</f>
        <v>82473.32</v>
      </c>
      <c r="Q15" s="33">
        <f t="shared" si="0"/>
        <v>923331.6799999999</v>
      </c>
    </row>
    <row r="16" spans="1:17" ht="17.25">
      <c r="A16" s="30" t="s">
        <v>78</v>
      </c>
      <c r="B16" s="67">
        <v>1872398</v>
      </c>
      <c r="C16" s="32">
        <f>133293.96+770.76</f>
        <v>134064.72</v>
      </c>
      <c r="D16" s="67">
        <v>55500</v>
      </c>
      <c r="E16" s="32">
        <v>0</v>
      </c>
      <c r="F16" s="67">
        <v>156380</v>
      </c>
      <c r="G16" s="32">
        <v>0</v>
      </c>
      <c r="H16" s="67">
        <v>230000</v>
      </c>
      <c r="I16" s="32">
        <v>4214.48</v>
      </c>
      <c r="J16" s="67">
        <v>74500</v>
      </c>
      <c r="K16" s="32">
        <v>0</v>
      </c>
      <c r="L16" s="67">
        <v>45000</v>
      </c>
      <c r="M16" s="32">
        <v>0</v>
      </c>
      <c r="N16" s="67">
        <v>0</v>
      </c>
      <c r="O16" s="36">
        <v>84144.65</v>
      </c>
      <c r="P16" s="33">
        <f>+O16+K16+I16+G16+E16+C16</f>
        <v>222423.84999999998</v>
      </c>
      <c r="Q16" s="33">
        <f>+B16+D16+F16+H16+J16+N16-P16+L16</f>
        <v>2211354.15</v>
      </c>
    </row>
    <row r="17" spans="1:17" ht="17.25">
      <c r="A17" s="30" t="s">
        <v>77</v>
      </c>
      <c r="B17" s="67">
        <v>885423</v>
      </c>
      <c r="C17" s="32">
        <v>49761.69</v>
      </c>
      <c r="D17" s="67">
        <v>0</v>
      </c>
      <c r="E17" s="32">
        <v>241.56</v>
      </c>
      <c r="F17" s="67">
        <v>1168000</v>
      </c>
      <c r="G17" s="32">
        <v>31900</v>
      </c>
      <c r="H17" s="67">
        <v>130000</v>
      </c>
      <c r="I17" s="32">
        <v>0</v>
      </c>
      <c r="J17" s="67">
        <v>3500</v>
      </c>
      <c r="K17" s="32">
        <v>0</v>
      </c>
      <c r="L17" s="67">
        <v>0</v>
      </c>
      <c r="M17" s="32">
        <v>0</v>
      </c>
      <c r="N17" s="67">
        <v>0</v>
      </c>
      <c r="O17" s="36">
        <v>44644.54</v>
      </c>
      <c r="P17" s="33">
        <f>+O17+K17+I17+G17+E17+C17+M17</f>
        <v>126547.79000000001</v>
      </c>
      <c r="Q17" s="33">
        <f t="shared" si="0"/>
        <v>2060375.21</v>
      </c>
    </row>
    <row r="18" spans="1:17" ht="18" thickBot="1">
      <c r="A18" s="37" t="s">
        <v>11</v>
      </c>
      <c r="B18" s="38">
        <f aca="true" t="shared" si="1" ref="B18:Q18">SUM(B7:B17)</f>
        <v>9500442</v>
      </c>
      <c r="C18" s="39">
        <f t="shared" si="1"/>
        <v>610368.05</v>
      </c>
      <c r="D18" s="38">
        <f t="shared" si="1"/>
        <v>157700</v>
      </c>
      <c r="E18" s="39">
        <f t="shared" si="1"/>
        <v>884.6500000000001</v>
      </c>
      <c r="F18" s="38">
        <f t="shared" si="1"/>
        <v>3403255</v>
      </c>
      <c r="G18" s="39">
        <f t="shared" si="1"/>
        <v>126487.76999999999</v>
      </c>
      <c r="H18" s="38">
        <f t="shared" si="1"/>
        <v>905160</v>
      </c>
      <c r="I18" s="39">
        <f t="shared" si="1"/>
        <v>6500.48</v>
      </c>
      <c r="J18" s="38">
        <f t="shared" si="1"/>
        <v>164550</v>
      </c>
      <c r="K18" s="39">
        <f t="shared" si="1"/>
        <v>0</v>
      </c>
      <c r="L18" s="38">
        <f t="shared" si="1"/>
        <v>45000</v>
      </c>
      <c r="M18" s="39">
        <f t="shared" si="1"/>
        <v>0</v>
      </c>
      <c r="N18" s="38">
        <f t="shared" si="1"/>
        <v>700000</v>
      </c>
      <c r="O18" s="39">
        <f t="shared" si="1"/>
        <v>560420.17</v>
      </c>
      <c r="P18" s="41">
        <f t="shared" si="1"/>
        <v>1304661.12</v>
      </c>
      <c r="Q18" s="41">
        <f t="shared" si="1"/>
        <v>13571445.880000003</v>
      </c>
    </row>
    <row r="19" spans="1:17" ht="17.25" thickBot="1">
      <c r="A19" s="42" t="s">
        <v>30</v>
      </c>
      <c r="B19" s="43"/>
      <c r="C19" s="137">
        <f>+C18/B18</f>
        <v>0.06424627927837463</v>
      </c>
      <c r="D19" s="45"/>
      <c r="E19" s="137">
        <f>+E18/D18</f>
        <v>0.005609701965757769</v>
      </c>
      <c r="F19" s="137"/>
      <c r="G19" s="137">
        <f>+G18/F18</f>
        <v>0.03716670364107303</v>
      </c>
      <c r="H19" s="137"/>
      <c r="I19" s="137">
        <f>+I18/H18</f>
        <v>0.0071815811569225325</v>
      </c>
      <c r="J19" s="137"/>
      <c r="K19" s="45">
        <f>+K18/J18</f>
        <v>0</v>
      </c>
      <c r="L19" s="162"/>
      <c r="M19" s="162">
        <f>+M18/L18</f>
        <v>0</v>
      </c>
      <c r="N19" s="137"/>
      <c r="O19" s="146">
        <f>+O18/N18</f>
        <v>0.8006002428571429</v>
      </c>
      <c r="P19" s="57"/>
      <c r="Q19" s="57"/>
    </row>
    <row r="20" spans="1:17" ht="8.25" customHeight="1">
      <c r="A20" s="48"/>
      <c r="B20" s="48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6:17" ht="16.5">
      <c r="P21" s="5"/>
      <c r="Q21" s="5"/>
    </row>
    <row r="23" ht="17.25">
      <c r="P23" s="68"/>
    </row>
    <row r="24" ht="16.5">
      <c r="P24" s="69"/>
    </row>
    <row r="25" ht="16.5">
      <c r="P25" s="57"/>
    </row>
    <row r="26" ht="16.5">
      <c r="P26" s="57"/>
    </row>
    <row r="27" ht="16.5">
      <c r="P27" s="57"/>
    </row>
    <row r="41" spans="1:6" ht="16.5">
      <c r="A41" s="52"/>
      <c r="B41" s="52"/>
      <c r="C41" s="52"/>
      <c r="D41" s="52"/>
      <c r="E41" s="52"/>
      <c r="F41" s="52"/>
    </row>
    <row r="43" spans="3:6" ht="16.5">
      <c r="C43" s="51"/>
      <c r="D43" s="5"/>
      <c r="E43" s="52"/>
      <c r="F43" s="52"/>
    </row>
    <row r="44" spans="3:6" ht="16.5">
      <c r="C44" s="51"/>
      <c r="D44" s="5"/>
      <c r="E44" s="52"/>
      <c r="F44" s="52"/>
    </row>
    <row r="45" spans="3:6" ht="16.5">
      <c r="C45" s="51"/>
      <c r="D45" s="5"/>
      <c r="E45" s="52"/>
      <c r="F45" s="52"/>
    </row>
    <row r="46" spans="3:6" ht="16.5">
      <c r="C46" s="51"/>
      <c r="D46" s="5"/>
      <c r="E46" s="52"/>
      <c r="F46" s="52"/>
    </row>
    <row r="47" spans="3:6" ht="16.5">
      <c r="C47" s="51"/>
      <c r="D47" s="5"/>
      <c r="E47" s="52"/>
      <c r="F47" s="52"/>
    </row>
    <row r="48" spans="3:6" ht="16.5">
      <c r="C48" s="51"/>
      <c r="D48" s="5"/>
      <c r="E48" s="52"/>
      <c r="F48" s="52"/>
    </row>
    <row r="49" spans="3:6" ht="16.5">
      <c r="C49" s="51"/>
      <c r="D49" s="5"/>
      <c r="E49" s="52"/>
      <c r="F49" s="52"/>
    </row>
    <row r="50" ht="16.5">
      <c r="C50" s="47"/>
    </row>
    <row r="52" spans="1:4" ht="16.5">
      <c r="A52" s="61" t="s">
        <v>26</v>
      </c>
      <c r="B52" s="70" t="s">
        <v>27</v>
      </c>
      <c r="C52" s="61" t="s">
        <v>28</v>
      </c>
      <c r="D52" s="61"/>
    </row>
    <row r="53" spans="1:3" ht="17.25">
      <c r="A53" s="63">
        <f>+B18</f>
        <v>9500442</v>
      </c>
      <c r="B53" s="64">
        <f>+C18</f>
        <v>610368.05</v>
      </c>
      <c r="C53" s="61" t="s">
        <v>1</v>
      </c>
    </row>
    <row r="54" spans="1:3" ht="17.25">
      <c r="A54" s="63">
        <f>+D18</f>
        <v>157700</v>
      </c>
      <c r="B54" s="64">
        <f>+E18</f>
        <v>884.6500000000001</v>
      </c>
      <c r="C54" s="61" t="s">
        <v>2</v>
      </c>
    </row>
    <row r="55" spans="1:3" ht="17.25">
      <c r="A55" s="63">
        <f>+F18</f>
        <v>3403255</v>
      </c>
      <c r="B55" s="64">
        <f>+G18</f>
        <v>126487.76999999999</v>
      </c>
      <c r="C55" s="61" t="s">
        <v>3</v>
      </c>
    </row>
    <row r="56" spans="1:3" ht="17.25">
      <c r="A56" s="63">
        <f>+H18</f>
        <v>905160</v>
      </c>
      <c r="B56" s="64">
        <f>+I18</f>
        <v>6500.48</v>
      </c>
      <c r="C56" s="61" t="s">
        <v>34</v>
      </c>
    </row>
    <row r="57" spans="1:3" ht="17.25">
      <c r="A57" s="63">
        <f>+J18</f>
        <v>164550</v>
      </c>
      <c r="B57" s="64">
        <f>+K18</f>
        <v>0</v>
      </c>
      <c r="C57" s="61" t="s">
        <v>32</v>
      </c>
    </row>
    <row r="58" spans="1:3" ht="17.25">
      <c r="A58" s="63">
        <v>0</v>
      </c>
      <c r="B58" s="64">
        <f>+M18</f>
        <v>0</v>
      </c>
      <c r="C58" s="61" t="s">
        <v>102</v>
      </c>
    </row>
    <row r="59" spans="1:3" ht="17.25">
      <c r="A59" s="63">
        <f>+N18</f>
        <v>700000</v>
      </c>
      <c r="B59" s="64">
        <f>+O18</f>
        <v>560420.17</v>
      </c>
      <c r="C59" s="61" t="s">
        <v>35</v>
      </c>
    </row>
    <row r="60" spans="1:3" ht="17.25">
      <c r="A60" s="63"/>
      <c r="B60" s="63"/>
      <c r="C60" s="61"/>
    </row>
    <row r="61" spans="1:3" ht="17.25">
      <c r="A61" s="63">
        <v>866913</v>
      </c>
      <c r="B61" s="64">
        <v>406071.92</v>
      </c>
      <c r="C61" s="61"/>
    </row>
    <row r="62" spans="1:3" ht="17.25">
      <c r="A62" s="63"/>
      <c r="B62" s="63"/>
      <c r="C62" s="61"/>
    </row>
    <row r="63" spans="1:2" ht="17.25">
      <c r="A63" s="63"/>
      <c r="B63" s="63"/>
    </row>
    <row r="64" spans="1:2" ht="17.25">
      <c r="A64" s="63"/>
      <c r="B64" s="63"/>
    </row>
    <row r="65" spans="1:2" ht="17.25">
      <c r="A65" s="63"/>
      <c r="B65" s="63"/>
    </row>
    <row r="66" spans="1:2" ht="17.25">
      <c r="A66" s="63"/>
      <c r="B66" s="63"/>
    </row>
    <row r="67" spans="1:2" ht="17.25">
      <c r="A67" s="63"/>
      <c r="B67" s="63"/>
    </row>
    <row r="68" spans="1:2" ht="17.25">
      <c r="A68" s="63"/>
      <c r="B68" s="63"/>
    </row>
    <row r="69" spans="1:2" ht="17.25">
      <c r="A69" s="63"/>
      <c r="B69" s="63"/>
    </row>
    <row r="70" spans="1:2" ht="17.25">
      <c r="A70" s="63"/>
      <c r="B70" s="63"/>
    </row>
    <row r="71" spans="1:2" ht="17.25">
      <c r="A71" s="63"/>
      <c r="B71" s="63"/>
    </row>
    <row r="72" spans="1:2" ht="17.25">
      <c r="A72" s="63"/>
      <c r="B72" s="63"/>
    </row>
    <row r="73" spans="1:2" ht="17.25">
      <c r="A73" s="63"/>
      <c r="B73" s="63"/>
    </row>
    <row r="74" spans="1:2" ht="17.25">
      <c r="A74" s="63"/>
      <c r="B74" s="63"/>
    </row>
    <row r="75" spans="1:2" ht="17.25">
      <c r="A75" s="63"/>
      <c r="B75" s="63"/>
    </row>
    <row r="76" spans="1:2" ht="17.25">
      <c r="A76" s="63"/>
      <c r="B76" s="63"/>
    </row>
    <row r="77" spans="1:2" ht="17.25">
      <c r="A77" s="63"/>
      <c r="B77" s="63"/>
    </row>
  </sheetData>
  <sheetProtection/>
  <mergeCells count="9">
    <mergeCell ref="B2:E2"/>
    <mergeCell ref="B3:C3"/>
    <mergeCell ref="J5:K5"/>
    <mergeCell ref="N5:O5"/>
    <mergeCell ref="B5:C5"/>
    <mergeCell ref="D5:E5"/>
    <mergeCell ref="F5:G5"/>
    <mergeCell ref="H5:I5"/>
    <mergeCell ref="L5:M5"/>
  </mergeCells>
  <printOptions/>
  <pageMargins left="0.7086614173228347" right="0.35433070866141736" top="0.4724409448818898" bottom="0.5511811023622047" header="0.1968503937007874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Q14" sqref="Q14"/>
    </sheetView>
  </sheetViews>
  <sheetFormatPr defaultColWidth="11.421875" defaultRowHeight="15"/>
  <cols>
    <col min="1" max="1" width="15.57421875" style="1" customWidth="1"/>
    <col min="2" max="2" width="9.140625" style="1" customWidth="1"/>
    <col min="3" max="3" width="10.57421875" style="1" customWidth="1"/>
    <col min="4" max="4" width="9.421875" style="1" customWidth="1"/>
    <col min="5" max="5" width="10.421875" style="1" customWidth="1"/>
    <col min="6" max="6" width="9.28125" style="1" customWidth="1"/>
    <col min="7" max="7" width="10.28125" style="1" customWidth="1"/>
    <col min="8" max="8" width="7.421875" style="1" customWidth="1"/>
    <col min="9" max="9" width="8.7109375" style="1" customWidth="1"/>
    <col min="10" max="10" width="7.57421875" style="1" customWidth="1"/>
    <col min="11" max="11" width="10.140625" style="1" customWidth="1"/>
    <col min="12" max="12" width="7.57421875" style="1" customWidth="1"/>
    <col min="13" max="13" width="9.28125" style="1" customWidth="1"/>
    <col min="14" max="14" width="9.421875" style="1" customWidth="1"/>
    <col min="15" max="15" width="11.8515625" style="1" customWidth="1"/>
    <col min="16" max="16" width="12.28125" style="1" customWidth="1"/>
    <col min="17" max="17" width="13.57421875" style="1" customWidth="1"/>
    <col min="18" max="18" width="11.28125" style="1" customWidth="1"/>
    <col min="19" max="16384" width="11.421875" style="1" customWidth="1"/>
  </cols>
  <sheetData>
    <row r="1" spans="14:15" ht="16.5">
      <c r="N1" s="71"/>
      <c r="O1" s="71"/>
    </row>
    <row r="2" spans="1:15" ht="18">
      <c r="A2" s="144" t="s">
        <v>0</v>
      </c>
      <c r="B2" s="168" t="s">
        <v>125</v>
      </c>
      <c r="C2" s="180"/>
      <c r="D2" s="180"/>
      <c r="E2" s="180"/>
      <c r="F2" s="180"/>
      <c r="G2" s="181"/>
      <c r="L2" s="177" t="s">
        <v>23</v>
      </c>
      <c r="M2" s="178"/>
      <c r="N2" s="149">
        <v>41275</v>
      </c>
      <c r="O2" s="72"/>
    </row>
    <row r="3" spans="2:5" ht="12.75" customHeight="1">
      <c r="B3" s="179"/>
      <c r="C3" s="179"/>
      <c r="D3" s="179"/>
      <c r="E3" s="179"/>
    </row>
    <row r="4" spans="15:16" ht="18" thickBot="1">
      <c r="O4" s="73"/>
      <c r="P4" s="64"/>
    </row>
    <row r="5" spans="1:17" ht="17.25">
      <c r="A5" s="24"/>
      <c r="B5" s="175" t="s">
        <v>1</v>
      </c>
      <c r="C5" s="176"/>
      <c r="D5" s="175" t="s">
        <v>2</v>
      </c>
      <c r="E5" s="176"/>
      <c r="F5" s="175" t="s">
        <v>3</v>
      </c>
      <c r="G5" s="176"/>
      <c r="H5" s="74" t="s">
        <v>92</v>
      </c>
      <c r="I5" s="74"/>
      <c r="J5" s="175" t="s">
        <v>32</v>
      </c>
      <c r="K5" s="176"/>
      <c r="L5" s="175" t="s">
        <v>36</v>
      </c>
      <c r="M5" s="176"/>
      <c r="N5" s="175" t="s">
        <v>33</v>
      </c>
      <c r="O5" s="176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4" t="s">
        <v>25</v>
      </c>
      <c r="Q6" s="29" t="s">
        <v>39</v>
      </c>
    </row>
    <row r="7" spans="1:18" ht="17.25">
      <c r="A7" s="30" t="s">
        <v>14</v>
      </c>
      <c r="B7" s="31">
        <v>964631</v>
      </c>
      <c r="C7" s="32">
        <f>17478.85+7596.7+26380.17+9627.5</f>
        <v>61083.22</v>
      </c>
      <c r="D7" s="67">
        <v>0</v>
      </c>
      <c r="E7" s="32">
        <v>0</v>
      </c>
      <c r="F7" s="67">
        <v>25000</v>
      </c>
      <c r="G7" s="32">
        <v>0</v>
      </c>
      <c r="H7" s="67">
        <v>0</v>
      </c>
      <c r="I7" s="32">
        <v>0</v>
      </c>
      <c r="J7" s="67">
        <v>4800</v>
      </c>
      <c r="K7" s="32">
        <v>0</v>
      </c>
      <c r="L7" s="67">
        <v>0</v>
      </c>
      <c r="M7" s="32">
        <v>0</v>
      </c>
      <c r="N7" s="67">
        <v>2630000</v>
      </c>
      <c r="O7" s="32">
        <v>109763.24</v>
      </c>
      <c r="P7" s="33">
        <f>+C7+E7+G7+K7+O7+I7</f>
        <v>170846.46000000002</v>
      </c>
      <c r="Q7" s="33">
        <f aca="true" t="shared" si="0" ref="Q7:Q12">+B7+D7+F7+J7+N7+H7-P7</f>
        <v>3453584.54</v>
      </c>
      <c r="R7" s="157"/>
    </row>
    <row r="8" spans="1:17" ht="17.25">
      <c r="A8" s="30" t="s">
        <v>6</v>
      </c>
      <c r="B8" s="31">
        <v>799235</v>
      </c>
      <c r="C8" s="32">
        <f>35453.39+11657.83</f>
        <v>47111.22</v>
      </c>
      <c r="D8" s="67">
        <v>4000</v>
      </c>
      <c r="E8" s="32">
        <v>0</v>
      </c>
      <c r="F8" s="67">
        <v>1239410</v>
      </c>
      <c r="G8" s="32">
        <v>0</v>
      </c>
      <c r="H8" s="67">
        <v>0</v>
      </c>
      <c r="I8" s="32">
        <v>0</v>
      </c>
      <c r="J8" s="67">
        <v>10000</v>
      </c>
      <c r="K8" s="32">
        <v>0</v>
      </c>
      <c r="L8" s="67">
        <v>0</v>
      </c>
      <c r="M8" s="32">
        <v>0</v>
      </c>
      <c r="N8" s="67">
        <v>0</v>
      </c>
      <c r="O8" s="32">
        <v>33147.47</v>
      </c>
      <c r="P8" s="33">
        <f>+C8+E8+G8+K8+O8+I8</f>
        <v>80258.69</v>
      </c>
      <c r="Q8" s="33">
        <f t="shared" si="0"/>
        <v>1972386.31</v>
      </c>
    </row>
    <row r="9" spans="1:17" ht="17.25">
      <c r="A9" s="30" t="s">
        <v>101</v>
      </c>
      <c r="B9" s="31">
        <v>1899088</v>
      </c>
      <c r="C9" s="32">
        <f>68520.95+24734.5+7448.49+15051.41</f>
        <v>115755.35</v>
      </c>
      <c r="D9" s="67">
        <v>7500</v>
      </c>
      <c r="E9" s="32">
        <v>0</v>
      </c>
      <c r="F9" s="67">
        <v>77200</v>
      </c>
      <c r="G9" s="32">
        <v>0</v>
      </c>
      <c r="H9" s="67">
        <v>0</v>
      </c>
      <c r="I9" s="32">
        <v>0</v>
      </c>
      <c r="J9" s="67">
        <v>22100</v>
      </c>
      <c r="K9" s="32">
        <v>0</v>
      </c>
      <c r="L9" s="67">
        <v>20000</v>
      </c>
      <c r="M9" s="32">
        <v>0</v>
      </c>
      <c r="N9" s="67">
        <v>0</v>
      </c>
      <c r="O9" s="32">
        <v>83123.59</v>
      </c>
      <c r="P9" s="33">
        <f>+C9+E9+G9+K9+O9+I9</f>
        <v>198878.94</v>
      </c>
      <c r="Q9" s="33">
        <f>+B9+D9+F9+J9+N9+H9-P9+L9</f>
        <v>1827009.06</v>
      </c>
    </row>
    <row r="10" spans="1:17" ht="17.25">
      <c r="A10" s="30" t="s">
        <v>7</v>
      </c>
      <c r="B10" s="31">
        <v>632665</v>
      </c>
      <c r="C10" s="32">
        <f>37420.59+4775.68</f>
        <v>42196.27</v>
      </c>
      <c r="D10" s="67">
        <v>74000</v>
      </c>
      <c r="E10" s="32">
        <v>0</v>
      </c>
      <c r="F10" s="67">
        <v>109000</v>
      </c>
      <c r="G10" s="32">
        <v>0</v>
      </c>
      <c r="H10" s="67">
        <v>0</v>
      </c>
      <c r="I10" s="32">
        <v>0</v>
      </c>
      <c r="J10" s="67">
        <v>52000</v>
      </c>
      <c r="K10" s="32">
        <v>0</v>
      </c>
      <c r="L10" s="67">
        <v>0</v>
      </c>
      <c r="M10" s="32">
        <v>0</v>
      </c>
      <c r="N10" s="67">
        <v>0</v>
      </c>
      <c r="O10" s="32">
        <v>29835.97</v>
      </c>
      <c r="P10" s="33">
        <f>+C10+E10+G10+K10+O10+I10+M10</f>
        <v>72032.23999999999</v>
      </c>
      <c r="Q10" s="33">
        <f t="shared" si="0"/>
        <v>795632.76</v>
      </c>
    </row>
    <row r="11" spans="1:19" ht="17.25">
      <c r="A11" s="30" t="s">
        <v>9</v>
      </c>
      <c r="B11" s="31">
        <v>1507496</v>
      </c>
      <c r="C11" s="32">
        <v>97113.38</v>
      </c>
      <c r="D11" s="67">
        <v>18000</v>
      </c>
      <c r="E11" s="32">
        <v>0</v>
      </c>
      <c r="F11" s="67">
        <v>428456</v>
      </c>
      <c r="G11" s="32">
        <f>1250+19179.9</f>
        <v>20429.9</v>
      </c>
      <c r="H11" s="67">
        <v>0</v>
      </c>
      <c r="I11" s="32">
        <v>0</v>
      </c>
      <c r="J11" s="67">
        <v>23900</v>
      </c>
      <c r="K11" s="32">
        <v>0</v>
      </c>
      <c r="L11" s="67">
        <v>0</v>
      </c>
      <c r="M11" s="32">
        <v>0</v>
      </c>
      <c r="N11" s="67">
        <v>0</v>
      </c>
      <c r="O11" s="32">
        <v>66732.21</v>
      </c>
      <c r="P11" s="33">
        <f>+C11+E11+G11+K11+O11+I11</f>
        <v>184275.49</v>
      </c>
      <c r="Q11" s="33">
        <f t="shared" si="0"/>
        <v>1793576.51</v>
      </c>
      <c r="S11" s="5"/>
    </row>
    <row r="12" spans="1:17" ht="17.25">
      <c r="A12" s="30" t="s">
        <v>8</v>
      </c>
      <c r="B12" s="31">
        <v>1748048</v>
      </c>
      <c r="C12" s="32">
        <f>91242.86+9558.18+7973.86</f>
        <v>108774.90000000001</v>
      </c>
      <c r="D12" s="67">
        <v>931600</v>
      </c>
      <c r="E12" s="32">
        <f>13164+267777.5</f>
        <v>280941.5</v>
      </c>
      <c r="F12" s="67">
        <v>191000</v>
      </c>
      <c r="G12" s="32">
        <v>0</v>
      </c>
      <c r="H12" s="67">
        <v>0</v>
      </c>
      <c r="I12" s="32">
        <v>0</v>
      </c>
      <c r="J12" s="67">
        <v>29700</v>
      </c>
      <c r="K12" s="32">
        <v>0</v>
      </c>
      <c r="L12" s="67">
        <v>0</v>
      </c>
      <c r="M12" s="32">
        <v>0</v>
      </c>
      <c r="N12" s="67">
        <v>0</v>
      </c>
      <c r="O12" s="32">
        <v>78918.21</v>
      </c>
      <c r="P12" s="33">
        <f>+C12+E12+G12+K12+O12+I12+M12</f>
        <v>468634.61000000004</v>
      </c>
      <c r="Q12" s="33">
        <f t="shared" si="0"/>
        <v>2431713.39</v>
      </c>
    </row>
    <row r="13" spans="1:17" ht="17.25">
      <c r="A13" s="30" t="s">
        <v>10</v>
      </c>
      <c r="B13" s="31">
        <v>302258</v>
      </c>
      <c r="C13" s="32">
        <v>19224.19</v>
      </c>
      <c r="D13" s="67">
        <v>450</v>
      </c>
      <c r="E13" s="32">
        <v>0</v>
      </c>
      <c r="F13" s="67">
        <v>10600</v>
      </c>
      <c r="G13" s="32">
        <v>0</v>
      </c>
      <c r="H13" s="67">
        <v>0</v>
      </c>
      <c r="I13" s="32">
        <v>0</v>
      </c>
      <c r="J13" s="67">
        <v>6000</v>
      </c>
      <c r="K13" s="32">
        <v>0</v>
      </c>
      <c r="L13" s="67">
        <v>2500</v>
      </c>
      <c r="M13" s="32">
        <v>0</v>
      </c>
      <c r="N13" s="67">
        <v>0</v>
      </c>
      <c r="O13" s="32">
        <v>13649.01</v>
      </c>
      <c r="P13" s="33">
        <f>+C13+E13+G13+K13+O13+I13</f>
        <v>32873.2</v>
      </c>
      <c r="Q13" s="33">
        <f>+B13+D13+F13+J13+N13+H13-P13+L13</f>
        <v>288934.8</v>
      </c>
    </row>
    <row r="14" spans="1:17" ht="18" thickBot="1">
      <c r="A14" s="37" t="s">
        <v>11</v>
      </c>
      <c r="B14" s="38">
        <f aca="true" t="shared" si="1" ref="B14:Q14">SUM(B7:B13)</f>
        <v>7853421</v>
      </c>
      <c r="C14" s="39">
        <f t="shared" si="1"/>
        <v>491258.53</v>
      </c>
      <c r="D14" s="38">
        <f t="shared" si="1"/>
        <v>1035550</v>
      </c>
      <c r="E14" s="39">
        <f t="shared" si="1"/>
        <v>280941.5</v>
      </c>
      <c r="F14" s="76">
        <f t="shared" si="1"/>
        <v>2080666</v>
      </c>
      <c r="G14" s="39">
        <f t="shared" si="1"/>
        <v>20429.9</v>
      </c>
      <c r="H14" s="76">
        <f t="shared" si="1"/>
        <v>0</v>
      </c>
      <c r="I14" s="39">
        <f t="shared" si="1"/>
        <v>0</v>
      </c>
      <c r="J14" s="38">
        <f t="shared" si="1"/>
        <v>148500</v>
      </c>
      <c r="K14" s="39">
        <f t="shared" si="1"/>
        <v>0</v>
      </c>
      <c r="L14" s="38">
        <f>SUM(L7:L13)</f>
        <v>22500</v>
      </c>
      <c r="M14" s="39">
        <f>SUM(M7:M13)</f>
        <v>0</v>
      </c>
      <c r="N14" s="38">
        <f t="shared" si="1"/>
        <v>2630000</v>
      </c>
      <c r="O14" s="39">
        <f t="shared" si="1"/>
        <v>415169.70000000007</v>
      </c>
      <c r="P14" s="41">
        <f t="shared" si="1"/>
        <v>1207799.6300000001</v>
      </c>
      <c r="Q14" s="41">
        <f t="shared" si="1"/>
        <v>12562837.370000001</v>
      </c>
    </row>
    <row r="15" spans="1:17" ht="17.25" thickBot="1">
      <c r="A15" s="42" t="s">
        <v>30</v>
      </c>
      <c r="B15" s="43"/>
      <c r="C15" s="137">
        <f>+C14/B14</f>
        <v>0.0625534439068019</v>
      </c>
      <c r="D15" s="137"/>
      <c r="E15" s="137">
        <f>+E14/D14</f>
        <v>0.2712968953696103</v>
      </c>
      <c r="F15" s="137"/>
      <c r="G15" s="137">
        <f>+G14/F14</f>
        <v>0.009818923363961347</v>
      </c>
      <c r="H15" s="44"/>
      <c r="I15" s="44"/>
      <c r="J15" s="44"/>
      <c r="K15" s="45">
        <f>+K14/J14</f>
        <v>0</v>
      </c>
      <c r="L15" s="46"/>
      <c r="M15" s="46">
        <f>+M14/L14</f>
        <v>0</v>
      </c>
      <c r="N15" s="46"/>
      <c r="O15" s="139">
        <f>+O14/N14</f>
        <v>0.15785920152091257</v>
      </c>
      <c r="P15" s="57"/>
      <c r="Q15" s="5"/>
    </row>
    <row r="16" spans="1:17" ht="16.5">
      <c r="A16" s="48"/>
      <c r="B16" s="48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138"/>
      <c r="Q16" s="5"/>
    </row>
    <row r="17" ht="16.5">
      <c r="P17" s="5"/>
    </row>
    <row r="39" spans="1:6" ht="16.5">
      <c r="A39" s="52"/>
      <c r="B39" s="52"/>
      <c r="C39" s="52"/>
      <c r="D39" s="52"/>
      <c r="E39" s="52"/>
      <c r="F39" s="52"/>
    </row>
    <row r="41" spans="3:6" ht="16.5">
      <c r="C41" s="51"/>
      <c r="D41" s="5"/>
      <c r="E41" s="52"/>
      <c r="F41" s="52"/>
    </row>
    <row r="42" spans="3:6" ht="16.5">
      <c r="C42" s="51"/>
      <c r="D42" s="5"/>
      <c r="E42" s="52"/>
      <c r="F42" s="52"/>
    </row>
    <row r="43" spans="3:6" ht="16.5">
      <c r="C43" s="51"/>
      <c r="D43" s="5"/>
      <c r="E43" s="52"/>
      <c r="F43" s="52"/>
    </row>
    <row r="44" spans="3:6" ht="16.5">
      <c r="C44" s="51"/>
      <c r="D44" s="5"/>
      <c r="E44" s="52"/>
      <c r="F44" s="52"/>
    </row>
    <row r="45" spans="3:6" ht="16.5">
      <c r="C45" s="51"/>
      <c r="D45" s="5"/>
      <c r="E45" s="52"/>
      <c r="F45" s="52"/>
    </row>
    <row r="46" spans="3:6" ht="16.5">
      <c r="C46" s="51"/>
      <c r="D46" s="5"/>
      <c r="E46" s="52"/>
      <c r="F46" s="52"/>
    </row>
    <row r="48" spans="1:4" ht="16.5">
      <c r="A48" s="61" t="s">
        <v>26</v>
      </c>
      <c r="B48" s="61" t="s">
        <v>27</v>
      </c>
      <c r="C48" s="61" t="s">
        <v>28</v>
      </c>
      <c r="D48" s="5"/>
    </row>
    <row r="49" spans="1:3" ht="16.5">
      <c r="A49" s="1">
        <f>+B14</f>
        <v>7853421</v>
      </c>
      <c r="B49" s="51">
        <f>+C14</f>
        <v>491258.53</v>
      </c>
      <c r="C49" s="61" t="s">
        <v>1</v>
      </c>
    </row>
    <row r="50" spans="1:3" ht="16.5">
      <c r="A50" s="1">
        <f>+D14</f>
        <v>1035550</v>
      </c>
      <c r="B50" s="51">
        <f>+E14</f>
        <v>280941.5</v>
      </c>
      <c r="C50" s="61" t="s">
        <v>2</v>
      </c>
    </row>
    <row r="51" spans="1:3" ht="16.5">
      <c r="A51" s="1">
        <f>+F14</f>
        <v>2080666</v>
      </c>
      <c r="B51" s="51">
        <f>+G14</f>
        <v>20429.9</v>
      </c>
      <c r="C51" s="61" t="s">
        <v>3</v>
      </c>
    </row>
    <row r="52" spans="1:3" ht="16.5" hidden="1">
      <c r="A52" s="77">
        <f>+H14</f>
        <v>0</v>
      </c>
      <c r="B52" s="51">
        <f>+I14</f>
        <v>0</v>
      </c>
      <c r="C52" s="61" t="s">
        <v>34</v>
      </c>
    </row>
    <row r="53" spans="1:3" ht="16.5">
      <c r="A53" s="1">
        <f>+J14</f>
        <v>148500</v>
      </c>
      <c r="B53" s="5">
        <f>+K14</f>
        <v>0</v>
      </c>
      <c r="C53" s="61" t="s">
        <v>32</v>
      </c>
    </row>
    <row r="54" spans="1:3" ht="16.5">
      <c r="A54" s="1">
        <v>0</v>
      </c>
      <c r="B54" s="5">
        <f>+M14</f>
        <v>0</v>
      </c>
      <c r="C54" s="61" t="s">
        <v>102</v>
      </c>
    </row>
    <row r="55" spans="1:3" ht="17.25">
      <c r="A55" s="1">
        <f>+N14</f>
        <v>2630000</v>
      </c>
      <c r="B55" s="64">
        <f>+O14</f>
        <v>415169.70000000007</v>
      </c>
      <c r="C55" s="61" t="s">
        <v>35</v>
      </c>
    </row>
    <row r="56" ht="16.5">
      <c r="C56" s="62"/>
    </row>
    <row r="57" spans="1:3" ht="17.25">
      <c r="A57" s="1">
        <v>2487582</v>
      </c>
      <c r="B57" s="64">
        <v>786542.11</v>
      </c>
      <c r="C57" s="62"/>
    </row>
    <row r="58" ht="16.5">
      <c r="C58" s="62"/>
    </row>
    <row r="59" ht="16.5">
      <c r="C59" s="62"/>
    </row>
    <row r="60" ht="16.5">
      <c r="C60" s="62"/>
    </row>
    <row r="61" ht="16.5">
      <c r="C61" s="62"/>
    </row>
    <row r="62" ht="16.5">
      <c r="C62" s="62"/>
    </row>
    <row r="63" ht="16.5">
      <c r="C63" s="62"/>
    </row>
  </sheetData>
  <sheetProtection/>
  <mergeCells count="9">
    <mergeCell ref="N5:O5"/>
    <mergeCell ref="B5:C5"/>
    <mergeCell ref="D5:E5"/>
    <mergeCell ref="F5:G5"/>
    <mergeCell ref="L5:M5"/>
    <mergeCell ref="L2:M2"/>
    <mergeCell ref="B3:E3"/>
    <mergeCell ref="J5:K5"/>
    <mergeCell ref="B2:G2"/>
  </mergeCells>
  <printOptions/>
  <pageMargins left="0.84" right="0.63" top="0.78" bottom="0.5" header="0.42" footer="0"/>
  <pageSetup horizontalDpi="600" verticalDpi="600" orientation="landscape" paperSize="5" r:id="rId2"/>
  <headerFooter alignWithMargins="0">
    <oddHeader>&amp;R&amp;"Palatino Linotype,Normal"&amp;10CONTADURIA MUNICIPA&amp;"Gill Sans MT Shadow,Normal"L</oddHeader>
    <oddFooter>&amp;L&amp;"Gill Sans MT Shadow,Regular"&amp;8&amp;D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6"/>
  <sheetViews>
    <sheetView zoomScalePageLayoutView="0" workbookViewId="0" topLeftCell="A1">
      <selection activeCell="O21" sqref="O21"/>
    </sheetView>
  </sheetViews>
  <sheetFormatPr defaultColWidth="11.421875" defaultRowHeight="15"/>
  <cols>
    <col min="1" max="1" width="17.28125" style="1" customWidth="1"/>
    <col min="2" max="2" width="10.140625" style="1" customWidth="1"/>
    <col min="3" max="3" width="12.421875" style="1" customWidth="1"/>
    <col min="4" max="4" width="7.7109375" style="1" customWidth="1"/>
    <col min="5" max="5" width="8.421875" style="1" customWidth="1"/>
    <col min="6" max="6" width="9.140625" style="1" customWidth="1"/>
    <col min="7" max="7" width="11.140625" style="1" customWidth="1"/>
    <col min="8" max="8" width="9.140625" style="1" customWidth="1"/>
    <col min="9" max="9" width="10.7109375" style="1" customWidth="1"/>
    <col min="10" max="10" width="7.7109375" style="1" customWidth="1"/>
    <col min="11" max="11" width="9.28125" style="1" customWidth="1"/>
    <col min="12" max="12" width="7.57421875" style="1" customWidth="1"/>
    <col min="13" max="13" width="8.8515625" style="1" customWidth="1"/>
    <col min="14" max="14" width="9.28125" style="1" customWidth="1"/>
    <col min="15" max="15" width="11.00390625" style="1" customWidth="1"/>
    <col min="16" max="16" width="12.57421875" style="1" customWidth="1"/>
    <col min="17" max="17" width="13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44" t="s">
        <v>0</v>
      </c>
      <c r="B2" s="168" t="s">
        <v>106</v>
      </c>
      <c r="C2" s="168"/>
      <c r="D2" s="182"/>
      <c r="E2" s="182"/>
      <c r="F2" s="181"/>
      <c r="I2" s="177" t="s">
        <v>23</v>
      </c>
      <c r="J2" s="177"/>
      <c r="K2" s="149">
        <v>41275</v>
      </c>
      <c r="L2" s="120"/>
      <c r="M2" s="120"/>
      <c r="N2" s="121"/>
      <c r="O2" s="55"/>
    </row>
    <row r="3" spans="2:4" ht="16.5">
      <c r="B3" s="183"/>
      <c r="C3" s="183"/>
      <c r="D3" s="66"/>
    </row>
    <row r="4" ht="17.25" thickBot="1"/>
    <row r="5" spans="1:17" ht="17.25">
      <c r="A5" s="24"/>
      <c r="B5" s="175" t="s">
        <v>1</v>
      </c>
      <c r="C5" s="176"/>
      <c r="D5" s="175" t="s">
        <v>2</v>
      </c>
      <c r="E5" s="176"/>
      <c r="F5" s="175" t="s">
        <v>3</v>
      </c>
      <c r="G5" s="176"/>
      <c r="H5" s="175" t="s">
        <v>4</v>
      </c>
      <c r="I5" s="176"/>
      <c r="J5" s="175" t="s">
        <v>32</v>
      </c>
      <c r="K5" s="176"/>
      <c r="L5" s="175" t="s">
        <v>36</v>
      </c>
      <c r="M5" s="176"/>
      <c r="N5" s="175" t="s">
        <v>33</v>
      </c>
      <c r="O5" s="176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4" t="s">
        <v>25</v>
      </c>
      <c r="Q6" s="29" t="s">
        <v>39</v>
      </c>
    </row>
    <row r="7" spans="1:18" ht="17.25">
      <c r="A7" s="30" t="s">
        <v>14</v>
      </c>
      <c r="B7" s="31">
        <v>2227218</v>
      </c>
      <c r="C7" s="32">
        <f>147434.19+1269.02+7937.35</f>
        <v>156640.56</v>
      </c>
      <c r="D7" s="31">
        <v>167200</v>
      </c>
      <c r="E7" s="32">
        <v>439.23</v>
      </c>
      <c r="F7" s="31">
        <v>1276133</v>
      </c>
      <c r="G7" s="32">
        <f>268535.18+27661.88</f>
        <v>296197.06</v>
      </c>
      <c r="H7" s="31">
        <v>4667657</v>
      </c>
      <c r="I7" s="32">
        <f>42469+22300</f>
        <v>64769</v>
      </c>
      <c r="J7" s="31">
        <v>40000</v>
      </c>
      <c r="K7" s="32">
        <v>0</v>
      </c>
      <c r="L7" s="31">
        <v>150000</v>
      </c>
      <c r="M7" s="36">
        <v>0</v>
      </c>
      <c r="N7" s="31">
        <v>1000000</v>
      </c>
      <c r="O7" s="32">
        <v>240861.09</v>
      </c>
      <c r="P7" s="33">
        <f>+C7+E7+G7+I7+K7+O7+M7</f>
        <v>758906.94</v>
      </c>
      <c r="Q7" s="33">
        <f>+B7+D7+F7+H7+J7+N7-P7+L7</f>
        <v>8769301.06</v>
      </c>
      <c r="R7" s="5"/>
    </row>
    <row r="8" spans="1:18" ht="17.25">
      <c r="A8" s="30" t="s">
        <v>75</v>
      </c>
      <c r="B8" s="31">
        <v>391238</v>
      </c>
      <c r="C8" s="32">
        <v>27399.94</v>
      </c>
      <c r="D8" s="31">
        <v>21000</v>
      </c>
      <c r="E8" s="32">
        <v>0</v>
      </c>
      <c r="F8" s="31">
        <v>1751209</v>
      </c>
      <c r="G8" s="32">
        <f>1514+914</f>
        <v>2428</v>
      </c>
      <c r="H8" s="31">
        <v>638991</v>
      </c>
      <c r="I8" s="32">
        <v>0</v>
      </c>
      <c r="J8" s="31">
        <v>33000</v>
      </c>
      <c r="K8" s="32">
        <v>0</v>
      </c>
      <c r="L8" s="31">
        <v>25000</v>
      </c>
      <c r="M8" s="36">
        <v>0</v>
      </c>
      <c r="N8" s="31">
        <v>0</v>
      </c>
      <c r="O8" s="32">
        <v>18399.07</v>
      </c>
      <c r="P8" s="33">
        <f>+C8+E8+G8+I8+K8+O8+M8</f>
        <v>48227.009999999995</v>
      </c>
      <c r="Q8" s="33">
        <f>+B8+D8+F8+H8+J8+N8-P8+L8</f>
        <v>2812210.99</v>
      </c>
      <c r="R8" s="5"/>
    </row>
    <row r="9" spans="1:18" ht="17.25">
      <c r="A9" s="30" t="s">
        <v>82</v>
      </c>
      <c r="B9" s="31">
        <v>4772666</v>
      </c>
      <c r="C9" s="32">
        <v>310057.81</v>
      </c>
      <c r="D9" s="31">
        <v>18000</v>
      </c>
      <c r="E9" s="32">
        <v>0</v>
      </c>
      <c r="F9" s="31">
        <v>1003398</v>
      </c>
      <c r="G9" s="32">
        <f>28023.19+40635.75</f>
        <v>68658.94</v>
      </c>
      <c r="H9" s="31">
        <v>1538509</v>
      </c>
      <c r="I9" s="32">
        <f>34637.81+22200</f>
        <v>56837.81</v>
      </c>
      <c r="J9" s="31">
        <v>21700</v>
      </c>
      <c r="K9" s="32">
        <v>0</v>
      </c>
      <c r="L9" s="31">
        <v>75000</v>
      </c>
      <c r="M9" s="36">
        <v>0</v>
      </c>
      <c r="N9" s="31">
        <v>0</v>
      </c>
      <c r="O9" s="32">
        <v>242046.08</v>
      </c>
      <c r="P9" s="33">
        <f>+C9+E9+G9+I9+K9+O9+M9</f>
        <v>677600.64</v>
      </c>
      <c r="Q9" s="33">
        <f>+B9+D9+F9+H9+J9+N9-P9+L9</f>
        <v>6751672.36</v>
      </c>
      <c r="R9" s="5"/>
    </row>
    <row r="10" spans="1:18" ht="17.25">
      <c r="A10" s="30" t="s">
        <v>121</v>
      </c>
      <c r="B10" s="31">
        <v>6092542</v>
      </c>
      <c r="C10" s="32">
        <v>455906.73</v>
      </c>
      <c r="D10" s="31">
        <v>1500</v>
      </c>
      <c r="E10" s="32">
        <v>110.18</v>
      </c>
      <c r="F10" s="31">
        <v>825272</v>
      </c>
      <c r="G10" s="32">
        <f>3782.52+25309.78</f>
        <v>29092.3</v>
      </c>
      <c r="H10" s="31">
        <v>148039</v>
      </c>
      <c r="I10" s="32">
        <v>0</v>
      </c>
      <c r="J10" s="31">
        <v>0</v>
      </c>
      <c r="K10" s="32">
        <v>0</v>
      </c>
      <c r="L10" s="31">
        <v>0</v>
      </c>
      <c r="M10" s="36">
        <v>0</v>
      </c>
      <c r="N10" s="31">
        <v>0</v>
      </c>
      <c r="O10" s="32">
        <v>335020.4</v>
      </c>
      <c r="P10" s="33">
        <f>+C10+E10+G10+I10+K10+O10+M10</f>
        <v>820129.61</v>
      </c>
      <c r="Q10" s="33">
        <f>+B10+D10+F10+H10+J10+N10-P10</f>
        <v>6247223.39</v>
      </c>
      <c r="R10" s="5"/>
    </row>
    <row r="11" spans="1:18" ht="17.25">
      <c r="A11" s="30" t="s">
        <v>107</v>
      </c>
      <c r="B11" s="31">
        <v>1582694</v>
      </c>
      <c r="C11" s="32">
        <v>104182.64</v>
      </c>
      <c r="D11" s="31">
        <v>21000</v>
      </c>
      <c r="E11" s="32">
        <v>0</v>
      </c>
      <c r="F11" s="31">
        <v>604859</v>
      </c>
      <c r="G11" s="32">
        <f>23320.88+60686.82</f>
        <v>84007.7</v>
      </c>
      <c r="H11" s="31">
        <v>838208</v>
      </c>
      <c r="I11" s="32">
        <f>4408.8+14520</f>
        <v>18928.8</v>
      </c>
      <c r="J11" s="31">
        <v>57800</v>
      </c>
      <c r="K11" s="32">
        <v>0</v>
      </c>
      <c r="L11" s="31">
        <v>0</v>
      </c>
      <c r="M11" s="36">
        <v>0</v>
      </c>
      <c r="N11" s="31">
        <v>0</v>
      </c>
      <c r="O11" s="32">
        <v>82245.74</v>
      </c>
      <c r="P11" s="33">
        <f>+C11+E11+G11+I11+K11+O11</f>
        <v>289364.88</v>
      </c>
      <c r="Q11" s="33">
        <f>+B11+D11+F11+H11+J11+N11-P11</f>
        <v>2815196.12</v>
      </c>
      <c r="R11" s="5"/>
    </row>
    <row r="12" spans="1:18" ht="17.25" hidden="1">
      <c r="A12" s="30" t="s">
        <v>76</v>
      </c>
      <c r="B12" s="31"/>
      <c r="C12" s="32"/>
      <c r="D12" s="31"/>
      <c r="E12" s="32"/>
      <c r="F12" s="31"/>
      <c r="G12" s="32"/>
      <c r="H12" s="31"/>
      <c r="I12" s="32"/>
      <c r="J12" s="31"/>
      <c r="K12" s="32"/>
      <c r="L12" s="31"/>
      <c r="M12" s="36"/>
      <c r="N12" s="31">
        <v>0</v>
      </c>
      <c r="O12" s="32"/>
      <c r="P12" s="33">
        <f>+C12+E12+G12+I12+K12+O12+M12</f>
        <v>0</v>
      </c>
      <c r="Q12" s="33">
        <f>+B12+D12+F12+H12+J12+N12-P12</f>
        <v>0</v>
      </c>
      <c r="R12" s="5"/>
    </row>
    <row r="13" spans="1:18" ht="18" thickBot="1">
      <c r="A13" s="37" t="s">
        <v>11</v>
      </c>
      <c r="B13" s="38">
        <f aca="true" t="shared" si="0" ref="B13:Q13">SUM(B7:B12)</f>
        <v>15066358</v>
      </c>
      <c r="C13" s="39">
        <f t="shared" si="0"/>
        <v>1054187.68</v>
      </c>
      <c r="D13" s="38">
        <f t="shared" si="0"/>
        <v>228700</v>
      </c>
      <c r="E13" s="39">
        <f t="shared" si="0"/>
        <v>549.4100000000001</v>
      </c>
      <c r="F13" s="38">
        <f t="shared" si="0"/>
        <v>5460871</v>
      </c>
      <c r="G13" s="39">
        <f t="shared" si="0"/>
        <v>480384</v>
      </c>
      <c r="H13" s="38">
        <f t="shared" si="0"/>
        <v>7831404</v>
      </c>
      <c r="I13" s="39">
        <f t="shared" si="0"/>
        <v>140535.61</v>
      </c>
      <c r="J13" s="38">
        <f t="shared" si="0"/>
        <v>152500</v>
      </c>
      <c r="K13" s="39">
        <f>SUM(K7:K12)</f>
        <v>0</v>
      </c>
      <c r="L13" s="38">
        <f>SUM(L7:L12)</f>
        <v>250000</v>
      </c>
      <c r="M13" s="39">
        <f>SUM(M7:M12)</f>
        <v>0</v>
      </c>
      <c r="N13" s="38">
        <f t="shared" si="0"/>
        <v>1000000</v>
      </c>
      <c r="O13" s="39">
        <f>SUM(O7:O12)</f>
        <v>918572.38</v>
      </c>
      <c r="P13" s="41">
        <f t="shared" si="0"/>
        <v>2594229.0799999996</v>
      </c>
      <c r="Q13" s="41">
        <f t="shared" si="0"/>
        <v>27395603.92</v>
      </c>
      <c r="R13" s="5"/>
    </row>
    <row r="14" spans="1:17" ht="17.25" thickBot="1">
      <c r="A14" s="42" t="s">
        <v>30</v>
      </c>
      <c r="B14" s="43"/>
      <c r="C14" s="137">
        <f>+C13/B13</f>
        <v>0.06996964229842408</v>
      </c>
      <c r="D14" s="44"/>
      <c r="E14" s="137">
        <f>+E13/D13</f>
        <v>0.00240231744643638</v>
      </c>
      <c r="F14" s="44"/>
      <c r="G14" s="137">
        <f>+G13/F13</f>
        <v>0.0879683845305996</v>
      </c>
      <c r="H14" s="44"/>
      <c r="I14" s="137">
        <f>+I13/H13</f>
        <v>0.017945136019033112</v>
      </c>
      <c r="J14" s="44"/>
      <c r="K14" s="45">
        <f>+K13/J13</f>
        <v>0</v>
      </c>
      <c r="L14" s="46"/>
      <c r="M14" s="46">
        <f>+M13/L13</f>
        <v>0</v>
      </c>
      <c r="N14" s="44"/>
      <c r="O14" s="139">
        <f>+O13/N13</f>
        <v>0.91857238</v>
      </c>
      <c r="P14" s="57"/>
      <c r="Q14" s="5"/>
    </row>
    <row r="15" spans="1:16" ht="16.5">
      <c r="A15" s="48"/>
      <c r="B15" s="4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32" spans="5:8" ht="16.5">
      <c r="E32" s="58"/>
      <c r="F32" s="58"/>
      <c r="G32" s="59"/>
      <c r="H32" s="59"/>
    </row>
    <row r="33" spans="5:8" ht="16.5">
      <c r="E33" s="60"/>
      <c r="F33" s="60"/>
      <c r="G33" s="60"/>
      <c r="H33" s="60"/>
    </row>
    <row r="38" spans="1:6" ht="16.5">
      <c r="A38" s="52"/>
      <c r="B38" s="52"/>
      <c r="C38" s="52"/>
      <c r="D38" s="52"/>
      <c r="E38" s="52"/>
      <c r="F38" s="52"/>
    </row>
    <row r="39" ht="16.5">
      <c r="C39" s="47"/>
    </row>
    <row r="40" spans="3:6" ht="16.5">
      <c r="C40" s="51"/>
      <c r="D40" s="5"/>
      <c r="E40" s="52"/>
      <c r="F40" s="52"/>
    </row>
    <row r="41" spans="3:6" ht="16.5">
      <c r="C41" s="51"/>
      <c r="D41" s="5"/>
      <c r="E41" s="52"/>
      <c r="F41" s="52"/>
    </row>
    <row r="42" spans="3:6" ht="16.5">
      <c r="C42" s="51"/>
      <c r="D42" s="5"/>
      <c r="E42" s="52"/>
      <c r="F42" s="52"/>
    </row>
    <row r="43" spans="3:6" ht="16.5">
      <c r="C43" s="51"/>
      <c r="D43" s="5"/>
      <c r="E43" s="52"/>
      <c r="F43" s="52"/>
    </row>
    <row r="44" spans="3:6" ht="16.5">
      <c r="C44" s="51"/>
      <c r="D44" s="5"/>
      <c r="E44" s="52"/>
      <c r="F44" s="52"/>
    </row>
    <row r="45" spans="3:6" ht="16.5">
      <c r="C45" s="51"/>
      <c r="D45" s="5"/>
      <c r="E45" s="52"/>
      <c r="F45" s="52"/>
    </row>
    <row r="47" spans="1:5" ht="16.5">
      <c r="A47" s="61" t="s">
        <v>26</v>
      </c>
      <c r="B47" s="61" t="s">
        <v>27</v>
      </c>
      <c r="C47" s="61" t="s">
        <v>28</v>
      </c>
      <c r="D47" s="61"/>
      <c r="E47" s="62"/>
    </row>
    <row r="48" spans="1:3" ht="17.25">
      <c r="A48" s="63">
        <f>+B13</f>
        <v>15066358</v>
      </c>
      <c r="B48" s="64">
        <f>+C13</f>
        <v>1054187.68</v>
      </c>
      <c r="C48" s="61" t="s">
        <v>1</v>
      </c>
    </row>
    <row r="49" spans="1:3" ht="17.25">
      <c r="A49" s="63">
        <f>+D13</f>
        <v>228700</v>
      </c>
      <c r="B49" s="64">
        <f>+E13</f>
        <v>549.4100000000001</v>
      </c>
      <c r="C49" s="61" t="s">
        <v>2</v>
      </c>
    </row>
    <row r="50" spans="1:3" ht="17.25">
      <c r="A50" s="63">
        <f>+F13</f>
        <v>5460871</v>
      </c>
      <c r="B50" s="64">
        <f>+G13</f>
        <v>480384</v>
      </c>
      <c r="C50" s="61" t="s">
        <v>3</v>
      </c>
    </row>
    <row r="51" spans="1:3" ht="17.25">
      <c r="A51" s="63">
        <f>+H13</f>
        <v>7831404</v>
      </c>
      <c r="B51" s="64">
        <f>+I13</f>
        <v>140535.61</v>
      </c>
      <c r="C51" s="61" t="s">
        <v>34</v>
      </c>
    </row>
    <row r="52" spans="1:3" ht="17.25">
      <c r="A52" s="63">
        <f>+J13</f>
        <v>152500</v>
      </c>
      <c r="B52" s="64">
        <f>+K13</f>
        <v>0</v>
      </c>
      <c r="C52" s="61" t="s">
        <v>32</v>
      </c>
    </row>
    <row r="53" spans="1:3" ht="17.25">
      <c r="A53" s="65">
        <f>+L13</f>
        <v>250000</v>
      </c>
      <c r="B53" s="64">
        <f>+M13</f>
        <v>0</v>
      </c>
      <c r="C53" s="61" t="s">
        <v>95</v>
      </c>
    </row>
    <row r="54" spans="1:3" ht="17.25">
      <c r="A54" s="63">
        <f>+N13</f>
        <v>1000000</v>
      </c>
      <c r="B54" s="64">
        <f>+O13</f>
        <v>918572.38</v>
      </c>
      <c r="C54" s="61" t="s">
        <v>35</v>
      </c>
    </row>
    <row r="55" spans="1:3" ht="17.25">
      <c r="A55" s="63"/>
      <c r="B55" s="63"/>
      <c r="C55" s="61"/>
    </row>
    <row r="56" spans="1:2" ht="16.5">
      <c r="A56" s="1">
        <v>2809993</v>
      </c>
      <c r="B56" s="5">
        <v>749308.3</v>
      </c>
    </row>
  </sheetData>
  <sheetProtection/>
  <mergeCells count="10">
    <mergeCell ref="B2:F2"/>
    <mergeCell ref="I2:J2"/>
    <mergeCell ref="B3:C3"/>
    <mergeCell ref="N5:O5"/>
    <mergeCell ref="J5:K5"/>
    <mergeCell ref="B5:C5"/>
    <mergeCell ref="D5:E5"/>
    <mergeCell ref="F5:G5"/>
    <mergeCell ref="H5:I5"/>
    <mergeCell ref="L5:M5"/>
  </mergeCells>
  <printOptions/>
  <pageMargins left="0.82" right="0.54" top="0.94" bottom="0.61" header="0.31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9"/>
  <sheetViews>
    <sheetView zoomScalePageLayoutView="0" workbookViewId="0" topLeftCell="A4">
      <selection activeCell="O16" sqref="O16"/>
    </sheetView>
  </sheetViews>
  <sheetFormatPr defaultColWidth="11.421875" defaultRowHeight="15"/>
  <cols>
    <col min="1" max="1" width="14.140625" style="1" customWidth="1"/>
    <col min="2" max="2" width="9.28125" style="1" customWidth="1"/>
    <col min="3" max="3" width="10.8515625" style="1" customWidth="1"/>
    <col min="4" max="4" width="7.8515625" style="1" customWidth="1"/>
    <col min="5" max="5" width="9.57421875" style="1" customWidth="1"/>
    <col min="6" max="6" width="9.421875" style="1" customWidth="1"/>
    <col min="7" max="7" width="10.28125" style="1" customWidth="1"/>
    <col min="8" max="8" width="7.57421875" style="1" customWidth="1"/>
    <col min="9" max="9" width="9.00390625" style="1" customWidth="1"/>
    <col min="10" max="10" width="8.140625" style="1" customWidth="1"/>
    <col min="11" max="11" width="9.140625" style="1" customWidth="1"/>
    <col min="12" max="12" width="10.140625" style="1" customWidth="1"/>
    <col min="13" max="13" width="10.7109375" style="1" customWidth="1"/>
    <col min="14" max="14" width="9.28125" style="1" customWidth="1"/>
    <col min="15" max="15" width="10.421875" style="1" customWidth="1"/>
    <col min="16" max="16" width="12.00390625" style="1" customWidth="1"/>
    <col min="17" max="17" width="13.28125" style="1" customWidth="1"/>
    <col min="18" max="18" width="13.8515625" style="1" bestFit="1" customWidth="1"/>
    <col min="19" max="16384" width="11.421875" style="1" customWidth="1"/>
  </cols>
  <sheetData>
    <row r="2" spans="1:15" ht="18">
      <c r="A2" s="144" t="s">
        <v>0</v>
      </c>
      <c r="B2" s="168" t="s">
        <v>108</v>
      </c>
      <c r="C2" s="185"/>
      <c r="D2" s="185"/>
      <c r="E2" s="173"/>
      <c r="F2" s="173"/>
      <c r="L2" s="177" t="s">
        <v>23</v>
      </c>
      <c r="M2" s="178"/>
      <c r="N2" s="149">
        <v>41275</v>
      </c>
      <c r="O2" s="55"/>
    </row>
    <row r="3" spans="2:4" ht="16.5">
      <c r="B3" s="183"/>
      <c r="C3" s="184"/>
      <c r="D3" s="184"/>
    </row>
    <row r="4" ht="17.25" thickBot="1"/>
    <row r="5" spans="1:17" ht="17.25">
      <c r="A5" s="24"/>
      <c r="B5" s="175" t="s">
        <v>1</v>
      </c>
      <c r="C5" s="176"/>
      <c r="D5" s="175" t="s">
        <v>2</v>
      </c>
      <c r="E5" s="176"/>
      <c r="F5" s="175" t="s">
        <v>3</v>
      </c>
      <c r="G5" s="176"/>
      <c r="H5" s="175" t="s">
        <v>4</v>
      </c>
      <c r="I5" s="176"/>
      <c r="J5" s="175" t="s">
        <v>81</v>
      </c>
      <c r="K5" s="176"/>
      <c r="L5" s="175" t="s">
        <v>36</v>
      </c>
      <c r="M5" s="176"/>
      <c r="N5" s="175" t="s">
        <v>33</v>
      </c>
      <c r="O5" s="176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4" t="s">
        <v>25</v>
      </c>
      <c r="Q6" s="29" t="s">
        <v>39</v>
      </c>
    </row>
    <row r="7" spans="1:18" ht="17.25">
      <c r="A7" s="30" t="s">
        <v>14</v>
      </c>
      <c r="B7" s="31">
        <v>866975</v>
      </c>
      <c r="C7" s="32">
        <f>17216.39+9167.89+32771.86</f>
        <v>59156.14</v>
      </c>
      <c r="D7" s="31">
        <v>36000</v>
      </c>
      <c r="E7" s="32">
        <v>252.56</v>
      </c>
      <c r="F7" s="31">
        <v>559243</v>
      </c>
      <c r="G7" s="32">
        <f>2600+2000</f>
        <v>4600</v>
      </c>
      <c r="H7" s="31">
        <v>260921</v>
      </c>
      <c r="I7" s="36">
        <v>0</v>
      </c>
      <c r="J7" s="31">
        <v>20000</v>
      </c>
      <c r="K7" s="32">
        <v>0</v>
      </c>
      <c r="L7" s="31">
        <v>0</v>
      </c>
      <c r="M7" s="32">
        <v>108078.02</v>
      </c>
      <c r="N7" s="31">
        <v>1800000</v>
      </c>
      <c r="O7" s="32">
        <v>113451.11</v>
      </c>
      <c r="P7" s="33">
        <f>+O7+M7+K7+G7+E7+C7+I7</f>
        <v>285537.83</v>
      </c>
      <c r="Q7" s="33">
        <f>+B7+D7+F7+J7+L7+N7-P7+H7</f>
        <v>3257601.17</v>
      </c>
      <c r="R7" s="5"/>
    </row>
    <row r="8" spans="1:17" ht="17.25">
      <c r="A8" s="30" t="s">
        <v>13</v>
      </c>
      <c r="B8" s="31">
        <v>2631326</v>
      </c>
      <c r="C8" s="32">
        <f>52764.28+77562.77+42056.12+7109.22</f>
        <v>179492.39</v>
      </c>
      <c r="D8" s="31">
        <v>15500</v>
      </c>
      <c r="E8" s="32">
        <v>0</v>
      </c>
      <c r="F8" s="78">
        <v>243148</v>
      </c>
      <c r="G8" s="79">
        <v>2900</v>
      </c>
      <c r="H8" s="80">
        <v>0</v>
      </c>
      <c r="I8" s="81">
        <v>0</v>
      </c>
      <c r="J8" s="78">
        <v>133500</v>
      </c>
      <c r="K8" s="79">
        <v>0</v>
      </c>
      <c r="L8" s="82">
        <v>0</v>
      </c>
      <c r="M8" s="79">
        <v>0</v>
      </c>
      <c r="N8" s="82">
        <v>0</v>
      </c>
      <c r="O8" s="79">
        <v>135820.43</v>
      </c>
      <c r="P8" s="33">
        <f>+O8+M8+K8+G8+E8+C8</f>
        <v>318212.82</v>
      </c>
      <c r="Q8" s="33">
        <f>+B8+D8+F8+J8+L8+N8-P8+H8</f>
        <v>2705261.18</v>
      </c>
    </row>
    <row r="9" spans="1:18" ht="17.25">
      <c r="A9" s="30" t="s">
        <v>12</v>
      </c>
      <c r="B9" s="31">
        <v>1956164</v>
      </c>
      <c r="C9" s="32">
        <f>39296+17437.53+9498.69</f>
        <v>66232.22</v>
      </c>
      <c r="D9" s="31">
        <v>74600</v>
      </c>
      <c r="E9" s="32">
        <v>812.58</v>
      </c>
      <c r="F9" s="31">
        <v>103000</v>
      </c>
      <c r="G9" s="32">
        <v>0</v>
      </c>
      <c r="H9" s="31">
        <v>0</v>
      </c>
      <c r="I9" s="36">
        <v>0</v>
      </c>
      <c r="J9" s="31">
        <v>70500</v>
      </c>
      <c r="K9" s="32">
        <v>0</v>
      </c>
      <c r="L9" s="31">
        <v>18255000</v>
      </c>
      <c r="M9" s="32">
        <f>27694.94+54834.43+33242.96</f>
        <v>115772.32999999999</v>
      </c>
      <c r="N9" s="31">
        <v>0</v>
      </c>
      <c r="O9" s="32">
        <v>106488.41</v>
      </c>
      <c r="P9" s="33">
        <f>+O9+M9+K9+G9+E9+C9+I9</f>
        <v>289305.54</v>
      </c>
      <c r="Q9" s="33">
        <f>+B9+D9+F9+J9+L9+N9-P9+H9</f>
        <v>20169958.46</v>
      </c>
      <c r="R9" s="5"/>
    </row>
    <row r="10" spans="1:18" ht="17.25">
      <c r="A10" s="30" t="s">
        <v>80</v>
      </c>
      <c r="B10" s="31">
        <v>3908391</v>
      </c>
      <c r="C10" s="32">
        <f>55737.49+8153.1+37650.23+18050.25</f>
        <v>119591.07</v>
      </c>
      <c r="D10" s="31">
        <v>259000</v>
      </c>
      <c r="E10" s="32">
        <f>233.52+856.46</f>
        <v>1089.98</v>
      </c>
      <c r="F10" s="31">
        <v>1896687</v>
      </c>
      <c r="G10" s="32">
        <v>66264.59</v>
      </c>
      <c r="H10" s="31">
        <v>0</v>
      </c>
      <c r="I10" s="36">
        <v>0</v>
      </c>
      <c r="J10" s="31">
        <v>200000</v>
      </c>
      <c r="K10" s="32">
        <v>0</v>
      </c>
      <c r="L10" s="31">
        <v>9737170</v>
      </c>
      <c r="M10" s="32">
        <f>146173.15+17375.66</f>
        <v>163548.81</v>
      </c>
      <c r="N10" s="31">
        <v>0</v>
      </c>
      <c r="O10" s="32">
        <v>475850.11</v>
      </c>
      <c r="P10" s="33">
        <f>+O10+M10+K10+I10+G10+E10+C10</f>
        <v>826344.5599999998</v>
      </c>
      <c r="Q10" s="33">
        <f>+N10+L10+J10+H10+F10+D10+B10-P10</f>
        <v>15174903.44</v>
      </c>
      <c r="R10" s="5"/>
    </row>
    <row r="11" spans="1:17" ht="9" customHeight="1">
      <c r="A11" s="30"/>
      <c r="B11" s="34"/>
      <c r="C11" s="32"/>
      <c r="D11" s="31"/>
      <c r="E11" s="32"/>
      <c r="F11" s="31"/>
      <c r="G11" s="32"/>
      <c r="H11" s="36"/>
      <c r="I11" s="36"/>
      <c r="J11" s="31"/>
      <c r="K11" s="32"/>
      <c r="L11" s="31"/>
      <c r="M11" s="32"/>
      <c r="N11" s="31"/>
      <c r="O11" s="32"/>
      <c r="P11" s="33"/>
      <c r="Q11" s="83"/>
    </row>
    <row r="12" spans="1:17" ht="18" thickBot="1">
      <c r="A12" s="37" t="s">
        <v>11</v>
      </c>
      <c r="B12" s="38">
        <f aca="true" t="shared" si="0" ref="B12:Q12">SUM(B7:B11)</f>
        <v>9362856</v>
      </c>
      <c r="C12" s="39">
        <f t="shared" si="0"/>
        <v>424471.82</v>
      </c>
      <c r="D12" s="38">
        <f t="shared" si="0"/>
        <v>385100</v>
      </c>
      <c r="E12" s="39">
        <f t="shared" si="0"/>
        <v>2155.12</v>
      </c>
      <c r="F12" s="38">
        <f t="shared" si="0"/>
        <v>2802078</v>
      </c>
      <c r="G12" s="39">
        <f t="shared" si="0"/>
        <v>73764.59</v>
      </c>
      <c r="H12" s="38">
        <f t="shared" si="0"/>
        <v>260921</v>
      </c>
      <c r="I12" s="40">
        <f t="shared" si="0"/>
        <v>0</v>
      </c>
      <c r="J12" s="38">
        <f t="shared" si="0"/>
        <v>424000</v>
      </c>
      <c r="K12" s="39">
        <f t="shared" si="0"/>
        <v>0</v>
      </c>
      <c r="L12" s="38">
        <f t="shared" si="0"/>
        <v>27992170</v>
      </c>
      <c r="M12" s="39">
        <f t="shared" si="0"/>
        <v>387399.16</v>
      </c>
      <c r="N12" s="38">
        <f t="shared" si="0"/>
        <v>1800000</v>
      </c>
      <c r="O12" s="39">
        <f t="shared" si="0"/>
        <v>831610.0599999999</v>
      </c>
      <c r="P12" s="41">
        <f t="shared" si="0"/>
        <v>1719400.7499999998</v>
      </c>
      <c r="Q12" s="41">
        <f t="shared" si="0"/>
        <v>41307724.25</v>
      </c>
    </row>
    <row r="13" spans="1:17" ht="17.25" thickBot="1">
      <c r="A13" s="42" t="s">
        <v>30</v>
      </c>
      <c r="B13" s="43"/>
      <c r="C13" s="137">
        <f>+C12/B12</f>
        <v>0.04533572021186698</v>
      </c>
      <c r="D13" s="44"/>
      <c r="E13" s="137">
        <f>+E12/D12</f>
        <v>0.005596260711503505</v>
      </c>
      <c r="F13" s="44"/>
      <c r="G13" s="137">
        <f>+G12/F12</f>
        <v>0.026324959547878394</v>
      </c>
      <c r="H13" s="44"/>
      <c r="I13" s="45">
        <f>+I12/H12</f>
        <v>0</v>
      </c>
      <c r="J13" s="44"/>
      <c r="K13" s="45">
        <f>+K12/J12</f>
        <v>0</v>
      </c>
      <c r="L13" s="44"/>
      <c r="M13" s="137">
        <f>+M12/L12</f>
        <v>0.013839554418253389</v>
      </c>
      <c r="N13" s="46"/>
      <c r="O13" s="139">
        <f>+O12/N12</f>
        <v>0.4620055888888889</v>
      </c>
      <c r="P13" s="57"/>
      <c r="Q13" s="5"/>
    </row>
    <row r="14" spans="12:17" ht="16.5">
      <c r="L14" s="77"/>
      <c r="P14" s="51"/>
      <c r="Q14" s="5"/>
    </row>
    <row r="15" ht="16.5">
      <c r="P15" s="5"/>
    </row>
    <row r="37" spans="1:6" ht="16.5">
      <c r="A37" s="52"/>
      <c r="B37" s="52"/>
      <c r="C37" s="52"/>
      <c r="D37" s="52"/>
      <c r="E37" s="52"/>
      <c r="F37" s="52"/>
    </row>
    <row r="39" spans="3:6" ht="17.25">
      <c r="C39" s="64"/>
      <c r="D39" s="5"/>
      <c r="E39" s="52"/>
      <c r="F39" s="52"/>
    </row>
    <row r="40" spans="3:6" ht="17.25">
      <c r="C40" s="64"/>
      <c r="D40" s="5"/>
      <c r="E40" s="52"/>
      <c r="F40" s="52"/>
    </row>
    <row r="41" spans="3:6" ht="17.25">
      <c r="C41" s="64"/>
      <c r="D41" s="5"/>
      <c r="E41" s="52"/>
      <c r="F41" s="52"/>
    </row>
    <row r="42" spans="3:6" ht="17.25">
      <c r="C42" s="64"/>
      <c r="D42" s="5"/>
      <c r="E42" s="52"/>
      <c r="F42" s="52"/>
    </row>
    <row r="43" spans="3:6" ht="17.25">
      <c r="C43" s="64"/>
      <c r="D43" s="5"/>
      <c r="E43" s="52"/>
      <c r="F43" s="52"/>
    </row>
    <row r="44" spans="3:6" ht="17.25">
      <c r="C44" s="64"/>
      <c r="D44" s="5"/>
      <c r="E44" s="52"/>
      <c r="F44" s="52"/>
    </row>
    <row r="45" ht="17.25">
      <c r="C45" s="63"/>
    </row>
    <row r="48" spans="4:5" ht="16.5">
      <c r="D48" s="61"/>
      <c r="E48" s="61"/>
    </row>
    <row r="49" spans="1:5" ht="16.5">
      <c r="A49" s="61" t="s">
        <v>26</v>
      </c>
      <c r="B49" s="61" t="s">
        <v>27</v>
      </c>
      <c r="C49" s="61" t="s">
        <v>28</v>
      </c>
      <c r="D49" s="61"/>
      <c r="E49" s="61"/>
    </row>
    <row r="50" spans="1:3" ht="17.25">
      <c r="A50" s="63">
        <f>+B12</f>
        <v>9362856</v>
      </c>
      <c r="B50" s="64">
        <f>+C12</f>
        <v>424471.82</v>
      </c>
      <c r="C50" s="61" t="s">
        <v>1</v>
      </c>
    </row>
    <row r="51" spans="1:3" ht="17.25">
      <c r="A51" s="63">
        <f>+D12</f>
        <v>385100</v>
      </c>
      <c r="B51" s="64">
        <f>+E12</f>
        <v>2155.12</v>
      </c>
      <c r="C51" s="61" t="s">
        <v>2</v>
      </c>
    </row>
    <row r="52" spans="1:3" ht="17.25">
      <c r="A52" s="63">
        <f>+F12</f>
        <v>2802078</v>
      </c>
      <c r="B52" s="64">
        <f>+G12</f>
        <v>73764.59</v>
      </c>
      <c r="C52" s="61" t="s">
        <v>3</v>
      </c>
    </row>
    <row r="53" spans="1:3" ht="17.25">
      <c r="A53" s="65">
        <f>+H12</f>
        <v>260921</v>
      </c>
      <c r="B53" s="64">
        <f>+I12</f>
        <v>0</v>
      </c>
      <c r="C53" s="61" t="s">
        <v>34</v>
      </c>
    </row>
    <row r="54" spans="1:3" ht="17.25">
      <c r="A54" s="63">
        <f>+J12</f>
        <v>424000</v>
      </c>
      <c r="B54" s="64">
        <f>+K12</f>
        <v>0</v>
      </c>
      <c r="C54" s="61" t="s">
        <v>32</v>
      </c>
    </row>
    <row r="55" spans="1:3" ht="17.25">
      <c r="A55" s="63">
        <f>+L12</f>
        <v>27992170</v>
      </c>
      <c r="B55" s="64">
        <f>+M12</f>
        <v>387399.16</v>
      </c>
      <c r="C55" s="61" t="s">
        <v>29</v>
      </c>
    </row>
    <row r="56" spans="1:3" ht="17.25">
      <c r="A56" s="63">
        <f>+N12</f>
        <v>1800000</v>
      </c>
      <c r="B56" s="64">
        <f>+O12</f>
        <v>831610.0599999999</v>
      </c>
      <c r="C56" s="61" t="s">
        <v>35</v>
      </c>
    </row>
    <row r="57" spans="1:2" ht="17.25">
      <c r="A57" s="63">
        <v>2832908</v>
      </c>
      <c r="B57" s="64">
        <v>692231.2</v>
      </c>
    </row>
    <row r="58" spans="1:2" ht="17.25">
      <c r="A58" s="63"/>
      <c r="B58" s="63"/>
    </row>
    <row r="59" spans="1:2" ht="17.25">
      <c r="A59" s="63"/>
      <c r="B59" s="63"/>
    </row>
  </sheetData>
  <sheetProtection/>
  <mergeCells count="10">
    <mergeCell ref="L2:M2"/>
    <mergeCell ref="B3:D3"/>
    <mergeCell ref="L5:M5"/>
    <mergeCell ref="N5:O5"/>
    <mergeCell ref="B5:C5"/>
    <mergeCell ref="D5:E5"/>
    <mergeCell ref="F5:G5"/>
    <mergeCell ref="J5:K5"/>
    <mergeCell ref="H5:I5"/>
    <mergeCell ref="B2:F2"/>
  </mergeCells>
  <printOptions/>
  <pageMargins left="0.8" right="0.68" top="1.04" bottom="0.5" header="0.31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">
      <selection activeCell="O20" sqref="O20"/>
    </sheetView>
  </sheetViews>
  <sheetFormatPr defaultColWidth="11.421875" defaultRowHeight="15"/>
  <cols>
    <col min="1" max="1" width="18.57421875" style="1" customWidth="1"/>
    <col min="2" max="2" width="10.7109375" style="1" customWidth="1"/>
    <col min="3" max="3" width="12.28125" style="1" customWidth="1"/>
    <col min="4" max="4" width="7.8515625" style="1" customWidth="1"/>
    <col min="5" max="5" width="8.8515625" style="1" customWidth="1"/>
    <col min="6" max="6" width="9.421875" style="1" customWidth="1"/>
    <col min="7" max="7" width="12.00390625" style="1" customWidth="1"/>
    <col min="8" max="8" width="7.140625" style="1" customWidth="1"/>
    <col min="9" max="9" width="9.00390625" style="1" customWidth="1"/>
    <col min="10" max="10" width="7.57421875" style="1" customWidth="1"/>
    <col min="11" max="11" width="8.57421875" style="1" customWidth="1"/>
    <col min="12" max="12" width="7.140625" style="1" customWidth="1"/>
    <col min="13" max="13" width="9.28125" style="1" customWidth="1"/>
    <col min="14" max="14" width="7.8515625" style="1" customWidth="1"/>
    <col min="15" max="15" width="12.00390625" style="1" customWidth="1"/>
    <col min="16" max="16" width="12.28125" style="1" customWidth="1"/>
    <col min="17" max="17" width="13.28125" style="1" customWidth="1"/>
    <col min="18" max="18" width="13.8515625" style="1" bestFit="1" customWidth="1"/>
    <col min="19" max="16384" width="11.421875" style="1" customWidth="1"/>
  </cols>
  <sheetData>
    <row r="2" spans="1:15" ht="18">
      <c r="A2" s="144" t="s">
        <v>0</v>
      </c>
      <c r="B2" s="168" t="s">
        <v>109</v>
      </c>
      <c r="C2" s="185"/>
      <c r="D2" s="185"/>
      <c r="E2" s="185"/>
      <c r="F2" s="180"/>
      <c r="G2" s="180"/>
      <c r="H2" s="180"/>
      <c r="I2" s="181"/>
      <c r="J2" s="20"/>
      <c r="K2" s="177" t="s">
        <v>23</v>
      </c>
      <c r="L2" s="178"/>
      <c r="M2" s="149">
        <v>41275</v>
      </c>
      <c r="O2" s="55"/>
    </row>
    <row r="3" spans="2:16" ht="16.5">
      <c r="B3" s="183"/>
      <c r="C3" s="184"/>
      <c r="D3" s="184"/>
      <c r="E3" s="184"/>
      <c r="F3" s="66"/>
      <c r="P3" s="84"/>
    </row>
    <row r="5" ht="17.25" thickBot="1"/>
    <row r="6" spans="1:17" ht="17.25">
      <c r="A6" s="24"/>
      <c r="B6" s="175" t="s">
        <v>1</v>
      </c>
      <c r="C6" s="176"/>
      <c r="D6" s="175" t="s">
        <v>2</v>
      </c>
      <c r="E6" s="176"/>
      <c r="F6" s="175" t="s">
        <v>3</v>
      </c>
      <c r="G6" s="176"/>
      <c r="H6" s="175" t="s">
        <v>4</v>
      </c>
      <c r="I6" s="176"/>
      <c r="J6" s="175" t="s">
        <v>32</v>
      </c>
      <c r="K6" s="176"/>
      <c r="L6" s="175" t="s">
        <v>36</v>
      </c>
      <c r="M6" s="176"/>
      <c r="N6" s="175" t="s">
        <v>33</v>
      </c>
      <c r="O6" s="176"/>
      <c r="P6" s="25" t="s">
        <v>5</v>
      </c>
      <c r="Q6" s="25" t="s">
        <v>38</v>
      </c>
    </row>
    <row r="7" spans="1:17" ht="17.25">
      <c r="A7" s="26"/>
      <c r="B7" s="27" t="s">
        <v>31</v>
      </c>
      <c r="C7" s="27" t="s">
        <v>37</v>
      </c>
      <c r="D7" s="27" t="s">
        <v>31</v>
      </c>
      <c r="E7" s="27" t="s">
        <v>37</v>
      </c>
      <c r="F7" s="27" t="s">
        <v>31</v>
      </c>
      <c r="G7" s="27" t="s">
        <v>37</v>
      </c>
      <c r="H7" s="27" t="s">
        <v>31</v>
      </c>
      <c r="I7" s="27" t="s">
        <v>37</v>
      </c>
      <c r="J7" s="27" t="s">
        <v>31</v>
      </c>
      <c r="K7" s="27" t="s">
        <v>37</v>
      </c>
      <c r="L7" s="27" t="s">
        <v>31</v>
      </c>
      <c r="M7" s="27" t="s">
        <v>37</v>
      </c>
      <c r="N7" s="27" t="s">
        <v>31</v>
      </c>
      <c r="O7" s="27" t="s">
        <v>37</v>
      </c>
      <c r="P7" s="28" t="s">
        <v>25</v>
      </c>
      <c r="Q7" s="29" t="s">
        <v>39</v>
      </c>
    </row>
    <row r="8" spans="1:18" ht="17.25">
      <c r="A8" s="85" t="s">
        <v>14</v>
      </c>
      <c r="B8" s="31">
        <v>1017388</v>
      </c>
      <c r="C8" s="32">
        <f>35896.2+193212.65+8507.55+24364.68</f>
        <v>261981.07999999996</v>
      </c>
      <c r="D8" s="31">
        <v>46500</v>
      </c>
      <c r="E8" s="32">
        <v>0</v>
      </c>
      <c r="F8" s="31">
        <v>1058900</v>
      </c>
      <c r="G8" s="32">
        <v>11883.32</v>
      </c>
      <c r="H8" s="31">
        <v>3000</v>
      </c>
      <c r="I8" s="32">
        <v>0</v>
      </c>
      <c r="J8" s="31">
        <v>610000</v>
      </c>
      <c r="K8" s="32">
        <v>0</v>
      </c>
      <c r="L8" s="31">
        <v>0</v>
      </c>
      <c r="M8" s="36">
        <v>0</v>
      </c>
      <c r="N8" s="31">
        <v>800000</v>
      </c>
      <c r="O8" s="32">
        <v>100259.55</v>
      </c>
      <c r="P8" s="33">
        <f>+O8+K8+G8+E8+C8+I8+M8</f>
        <v>374123.94999999995</v>
      </c>
      <c r="Q8" s="33">
        <f>+B8+D8+F8+H8+J8+N8-P8</f>
        <v>3161664.05</v>
      </c>
      <c r="R8" s="5"/>
    </row>
    <row r="9" spans="1:18" ht="17.25">
      <c r="A9" s="85" t="s">
        <v>89</v>
      </c>
      <c r="B9" s="31">
        <v>4762592</v>
      </c>
      <c r="C9" s="32">
        <f>39959.6+119913.02+79789.31+108696.35</f>
        <v>348358.28</v>
      </c>
      <c r="D9" s="31">
        <v>111500</v>
      </c>
      <c r="E9" s="32">
        <f>126.73+1453.25</f>
        <v>1579.98</v>
      </c>
      <c r="F9" s="31">
        <v>326300</v>
      </c>
      <c r="G9" s="32">
        <v>0</v>
      </c>
      <c r="H9" s="31">
        <v>0</v>
      </c>
      <c r="I9" s="32">
        <v>0</v>
      </c>
      <c r="J9" s="31">
        <v>53350</v>
      </c>
      <c r="K9" s="32">
        <v>0</v>
      </c>
      <c r="L9" s="31">
        <v>0</v>
      </c>
      <c r="M9" s="36">
        <v>0</v>
      </c>
      <c r="N9" s="31">
        <v>0</v>
      </c>
      <c r="O9" s="32">
        <v>260517.18</v>
      </c>
      <c r="P9" s="33">
        <f>+O9+K9+G9+E9+C9+M9</f>
        <v>610455.4400000001</v>
      </c>
      <c r="Q9" s="33">
        <f>+B9+D9+F9+H9+J9+N9-P9</f>
        <v>4643286.56</v>
      </c>
      <c r="R9" s="5"/>
    </row>
    <row r="10" spans="1:18" ht="17.25">
      <c r="A10" s="85" t="s">
        <v>88</v>
      </c>
      <c r="B10" s="31">
        <v>5997223</v>
      </c>
      <c r="C10" s="32">
        <f>59960.08+11765.59+346697.39</f>
        <v>418423.06</v>
      </c>
      <c r="D10" s="31">
        <v>148150</v>
      </c>
      <c r="E10" s="32">
        <v>0</v>
      </c>
      <c r="F10" s="31">
        <v>5623200</v>
      </c>
      <c r="G10" s="32">
        <f>255794.51+1093299.31</f>
        <v>1349093.82</v>
      </c>
      <c r="H10" s="31">
        <v>0</v>
      </c>
      <c r="I10" s="32">
        <v>0</v>
      </c>
      <c r="J10" s="31">
        <v>80000</v>
      </c>
      <c r="K10" s="32">
        <v>0</v>
      </c>
      <c r="L10" s="31">
        <v>0</v>
      </c>
      <c r="M10" s="36">
        <v>0</v>
      </c>
      <c r="N10" s="31">
        <v>0</v>
      </c>
      <c r="O10" s="32">
        <v>1546827.01</v>
      </c>
      <c r="P10" s="33">
        <f>+O10+K10+G10+E10+C10+M10+I10</f>
        <v>3314343.89</v>
      </c>
      <c r="Q10" s="33">
        <f>+B10+D10+F10+H10+J10+N10-P10</f>
        <v>8534229.11</v>
      </c>
      <c r="R10" s="5"/>
    </row>
    <row r="11" spans="1:18" ht="17.25">
      <c r="A11" s="85" t="s">
        <v>90</v>
      </c>
      <c r="B11" s="31">
        <v>5923625</v>
      </c>
      <c r="C11" s="32">
        <f>19164.3+354424.58+16961.4</f>
        <v>390550.28</v>
      </c>
      <c r="D11" s="31">
        <v>353000</v>
      </c>
      <c r="E11" s="32">
        <v>614.35</v>
      </c>
      <c r="F11" s="31">
        <v>455500</v>
      </c>
      <c r="G11" s="32">
        <v>1095</v>
      </c>
      <c r="H11" s="31">
        <v>3000</v>
      </c>
      <c r="I11" s="32">
        <v>0</v>
      </c>
      <c r="J11" s="31">
        <v>190000</v>
      </c>
      <c r="K11" s="32">
        <v>0</v>
      </c>
      <c r="L11" s="31">
        <v>0</v>
      </c>
      <c r="M11" s="36">
        <v>0</v>
      </c>
      <c r="N11" s="31">
        <v>0</v>
      </c>
      <c r="O11" s="32">
        <v>303090.04</v>
      </c>
      <c r="P11" s="33">
        <f>+O11+K11+G11+E11+C11</f>
        <v>695349.6699999999</v>
      </c>
      <c r="Q11" s="33">
        <f>+B11+D11+F11+H11+J11+N11+L11-P11</f>
        <v>6229775.33</v>
      </c>
      <c r="R11" s="5"/>
    </row>
    <row r="12" spans="1:17" ht="9" customHeight="1">
      <c r="A12" s="85"/>
      <c r="B12" s="34"/>
      <c r="C12" s="32"/>
      <c r="D12" s="34"/>
      <c r="E12" s="32"/>
      <c r="F12" s="34"/>
      <c r="G12" s="32"/>
      <c r="H12" s="34"/>
      <c r="I12" s="32"/>
      <c r="J12" s="34"/>
      <c r="K12" s="32"/>
      <c r="L12" s="36"/>
      <c r="M12" s="36"/>
      <c r="N12" s="34"/>
      <c r="O12" s="32"/>
      <c r="P12" s="33"/>
      <c r="Q12" s="33"/>
    </row>
    <row r="13" spans="1:17" ht="18" thickBot="1">
      <c r="A13" s="37" t="s">
        <v>11</v>
      </c>
      <c r="B13" s="38">
        <f aca="true" t="shared" si="0" ref="B13:Q13">SUM(B8:B12)</f>
        <v>17700828</v>
      </c>
      <c r="C13" s="39">
        <f t="shared" si="0"/>
        <v>1419312.7</v>
      </c>
      <c r="D13" s="38">
        <f t="shared" si="0"/>
        <v>659150</v>
      </c>
      <c r="E13" s="39">
        <f t="shared" si="0"/>
        <v>2194.33</v>
      </c>
      <c r="F13" s="38">
        <f t="shared" si="0"/>
        <v>7463900</v>
      </c>
      <c r="G13" s="39">
        <f t="shared" si="0"/>
        <v>1362072.1400000001</v>
      </c>
      <c r="H13" s="38">
        <f t="shared" si="0"/>
        <v>6000</v>
      </c>
      <c r="I13" s="39">
        <f t="shared" si="0"/>
        <v>0</v>
      </c>
      <c r="J13" s="38">
        <f t="shared" si="0"/>
        <v>933350</v>
      </c>
      <c r="K13" s="39">
        <f t="shared" si="0"/>
        <v>0</v>
      </c>
      <c r="L13" s="38">
        <f>SUM(L8:L12)</f>
        <v>0</v>
      </c>
      <c r="M13" s="39">
        <f>SUM(M8:M12)</f>
        <v>0</v>
      </c>
      <c r="N13" s="38">
        <f t="shared" si="0"/>
        <v>800000</v>
      </c>
      <c r="O13" s="39">
        <f t="shared" si="0"/>
        <v>2210693.78</v>
      </c>
      <c r="P13" s="86">
        <f t="shared" si="0"/>
        <v>4994272.95</v>
      </c>
      <c r="Q13" s="151">
        <f t="shared" si="0"/>
        <v>22568955.049999997</v>
      </c>
    </row>
    <row r="14" spans="1:17" ht="17.25" thickBot="1">
      <c r="A14" s="37" t="s">
        <v>30</v>
      </c>
      <c r="B14" s="87"/>
      <c r="C14" s="92">
        <f>+C13/B13</f>
        <v>0.08018340723948054</v>
      </c>
      <c r="D14" s="88"/>
      <c r="E14" s="92">
        <f>+E13/D13</f>
        <v>0.003329029811120382</v>
      </c>
      <c r="F14" s="88"/>
      <c r="G14" s="92">
        <f>+G13/F13</f>
        <v>0.18248799421214112</v>
      </c>
      <c r="H14" s="88"/>
      <c r="I14" s="164">
        <f>+I13/H13</f>
        <v>0</v>
      </c>
      <c r="J14" s="164"/>
      <c r="K14" s="164">
        <f>+K13/J13</f>
        <v>0</v>
      </c>
      <c r="L14" s="89"/>
      <c r="M14" s="46"/>
      <c r="N14" s="44"/>
      <c r="O14" s="139">
        <f>+O13/N13</f>
        <v>2.7633672249999996</v>
      </c>
      <c r="P14" s="57"/>
      <c r="Q14" s="5"/>
    </row>
    <row r="15" spans="1:17" ht="16.5">
      <c r="A15" s="48"/>
      <c r="B15" s="4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138"/>
      <c r="Q15" s="77"/>
    </row>
    <row r="16" ht="16.5">
      <c r="P16" s="5"/>
    </row>
    <row r="18" ht="16.5">
      <c r="Q18" s="5"/>
    </row>
    <row r="41" spans="1:6" ht="16.5">
      <c r="A41" s="52"/>
      <c r="B41" s="52"/>
      <c r="C41" s="52"/>
      <c r="D41" s="52"/>
      <c r="E41" s="52"/>
      <c r="F41" s="52"/>
    </row>
    <row r="43" spans="3:6" ht="16.5">
      <c r="C43" s="51"/>
      <c r="D43" s="5"/>
      <c r="E43" s="52"/>
      <c r="F43" s="52"/>
    </row>
    <row r="44" spans="4:6" ht="16.5">
      <c r="D44" s="5"/>
      <c r="F44" s="52"/>
    </row>
    <row r="45" spans="1:6" ht="16.5">
      <c r="A45" s="61" t="s">
        <v>26</v>
      </c>
      <c r="B45" s="70" t="s">
        <v>27</v>
      </c>
      <c r="C45" s="90" t="s">
        <v>28</v>
      </c>
      <c r="D45" s="5"/>
      <c r="F45" s="52"/>
    </row>
    <row r="46" spans="1:6" ht="17.25">
      <c r="A46" s="63">
        <f>+B13</f>
        <v>17700828</v>
      </c>
      <c r="B46" s="64">
        <f>+C13</f>
        <v>1419312.7</v>
      </c>
      <c r="C46" s="90" t="s">
        <v>1</v>
      </c>
      <c r="D46" s="5"/>
      <c r="F46" s="52"/>
    </row>
    <row r="47" spans="1:6" ht="17.25">
      <c r="A47" s="63">
        <f>+D13</f>
        <v>659150</v>
      </c>
      <c r="B47" s="64">
        <f>+E13</f>
        <v>2194.33</v>
      </c>
      <c r="C47" s="90" t="s">
        <v>2</v>
      </c>
      <c r="D47" s="5"/>
      <c r="F47" s="52"/>
    </row>
    <row r="48" spans="1:6" ht="17.25">
      <c r="A48" s="63">
        <f>+F13</f>
        <v>7463900</v>
      </c>
      <c r="B48" s="64">
        <f>+G13</f>
        <v>1362072.1400000001</v>
      </c>
      <c r="C48" s="90" t="s">
        <v>3</v>
      </c>
      <c r="D48" s="5"/>
      <c r="F48" s="52"/>
    </row>
    <row r="49" spans="1:6" ht="17.25">
      <c r="A49" s="65">
        <f>+H13</f>
        <v>6000</v>
      </c>
      <c r="B49" s="64">
        <f>+I13</f>
        <v>0</v>
      </c>
      <c r="C49" s="91" t="s">
        <v>34</v>
      </c>
      <c r="D49" s="5"/>
      <c r="F49" s="52"/>
    </row>
    <row r="50" spans="1:3" ht="17.25">
      <c r="A50" s="63">
        <f>+J13</f>
        <v>933350</v>
      </c>
      <c r="B50" s="64">
        <f>+K13</f>
        <v>0</v>
      </c>
      <c r="C50" s="61" t="s">
        <v>32</v>
      </c>
    </row>
    <row r="51" spans="1:3" ht="17.25">
      <c r="A51" s="65">
        <f>+L13</f>
        <v>0</v>
      </c>
      <c r="B51" s="64">
        <f>+M13</f>
        <v>0</v>
      </c>
      <c r="C51" s="61" t="s">
        <v>100</v>
      </c>
    </row>
    <row r="52" spans="1:3" ht="17.25">
      <c r="A52" s="63">
        <f>+N13</f>
        <v>800000</v>
      </c>
      <c r="B52" s="64">
        <f>+O13</f>
        <v>2210693.78</v>
      </c>
      <c r="C52" s="61" t="s">
        <v>35</v>
      </c>
    </row>
    <row r="53" spans="2:3" ht="16.5">
      <c r="B53" s="47"/>
      <c r="C53" s="61"/>
    </row>
    <row r="54" spans="1:2" ht="16.5">
      <c r="A54" s="1">
        <v>2161994.87</v>
      </c>
      <c r="B54" s="51">
        <v>623381.8</v>
      </c>
    </row>
  </sheetData>
  <sheetProtection/>
  <mergeCells count="10">
    <mergeCell ref="B2:I2"/>
    <mergeCell ref="K2:L2"/>
    <mergeCell ref="B3:E3"/>
    <mergeCell ref="N6:O6"/>
    <mergeCell ref="J6:K6"/>
    <mergeCell ref="B6:C6"/>
    <mergeCell ref="D6:E6"/>
    <mergeCell ref="F6:G6"/>
    <mergeCell ref="H6:I6"/>
    <mergeCell ref="L6:M6"/>
  </mergeCells>
  <printOptions/>
  <pageMargins left="0.78" right="0.57" top="0.99" bottom="1" header="0.39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">
      <selection activeCell="P13" sqref="P13"/>
    </sheetView>
  </sheetViews>
  <sheetFormatPr defaultColWidth="11.421875" defaultRowHeight="15"/>
  <cols>
    <col min="1" max="1" width="22.421875" style="1" customWidth="1"/>
    <col min="2" max="2" width="9.28125" style="1" customWidth="1"/>
    <col min="3" max="3" width="10.57421875" style="1" customWidth="1"/>
    <col min="4" max="4" width="7.7109375" style="1" customWidth="1"/>
    <col min="5" max="5" width="9.140625" style="1" customWidth="1"/>
    <col min="6" max="6" width="7.8515625" style="1" customWidth="1"/>
    <col min="7" max="7" width="8.7109375" style="1" customWidth="1"/>
    <col min="8" max="8" width="7.57421875" style="1" customWidth="1"/>
    <col min="9" max="9" width="9.8515625" style="1" customWidth="1"/>
    <col min="10" max="10" width="7.7109375" style="1" customWidth="1"/>
    <col min="11" max="11" width="8.8515625" style="1" customWidth="1"/>
    <col min="12" max="12" width="7.140625" style="1" customWidth="1"/>
    <col min="13" max="13" width="9.57421875" style="1" customWidth="1"/>
    <col min="14" max="14" width="7.57421875" style="1" customWidth="1"/>
    <col min="15" max="15" width="10.421875" style="1" customWidth="1"/>
    <col min="16" max="16" width="10.8515625" style="1" customWidth="1"/>
    <col min="17" max="17" width="12.140625" style="1" customWidth="1"/>
    <col min="18" max="16384" width="11.421875" style="1" customWidth="1"/>
  </cols>
  <sheetData>
    <row r="2" spans="1:15" ht="18">
      <c r="A2" s="144" t="s">
        <v>0</v>
      </c>
      <c r="B2" s="168" t="s">
        <v>110</v>
      </c>
      <c r="C2" s="168"/>
      <c r="D2" s="173"/>
      <c r="E2" s="173"/>
      <c r="I2" s="177" t="s">
        <v>23</v>
      </c>
      <c r="J2" s="177"/>
      <c r="K2" s="149">
        <v>41275</v>
      </c>
      <c r="L2" s="123"/>
      <c r="M2" s="123"/>
      <c r="O2" s="22"/>
    </row>
    <row r="3" spans="2:3" ht="16.5">
      <c r="B3" s="183"/>
      <c r="C3" s="183"/>
    </row>
    <row r="5" ht="17.25" thickBot="1"/>
    <row r="6" spans="1:17" ht="17.25">
      <c r="A6" s="24"/>
      <c r="B6" s="175" t="s">
        <v>1</v>
      </c>
      <c r="C6" s="176"/>
      <c r="D6" s="175" t="s">
        <v>2</v>
      </c>
      <c r="E6" s="176"/>
      <c r="F6" s="175" t="s">
        <v>3</v>
      </c>
      <c r="G6" s="176"/>
      <c r="H6" s="175" t="s">
        <v>4</v>
      </c>
      <c r="I6" s="176"/>
      <c r="J6" s="175" t="s">
        <v>32</v>
      </c>
      <c r="K6" s="176"/>
      <c r="L6" s="125" t="s">
        <v>36</v>
      </c>
      <c r="M6" s="74"/>
      <c r="N6" s="175" t="s">
        <v>33</v>
      </c>
      <c r="O6" s="176"/>
      <c r="P6" s="25" t="s">
        <v>5</v>
      </c>
      <c r="Q6" s="25" t="s">
        <v>38</v>
      </c>
    </row>
    <row r="7" spans="1:17" ht="17.25">
      <c r="A7" s="26"/>
      <c r="B7" s="27" t="s">
        <v>31</v>
      </c>
      <c r="C7" s="27" t="s">
        <v>37</v>
      </c>
      <c r="D7" s="27" t="s">
        <v>31</v>
      </c>
      <c r="E7" s="27" t="s">
        <v>37</v>
      </c>
      <c r="F7" s="27" t="s">
        <v>31</v>
      </c>
      <c r="G7" s="27" t="s">
        <v>37</v>
      </c>
      <c r="H7" s="27" t="s">
        <v>31</v>
      </c>
      <c r="I7" s="27" t="s">
        <v>37</v>
      </c>
      <c r="J7" s="27" t="s">
        <v>31</v>
      </c>
      <c r="K7" s="27" t="s">
        <v>37</v>
      </c>
      <c r="L7" s="27" t="s">
        <v>31</v>
      </c>
      <c r="M7" s="27" t="s">
        <v>37</v>
      </c>
      <c r="N7" s="27" t="s">
        <v>31</v>
      </c>
      <c r="O7" s="27" t="s">
        <v>37</v>
      </c>
      <c r="P7" s="28" t="s">
        <v>25</v>
      </c>
      <c r="Q7" s="29" t="s">
        <v>39</v>
      </c>
    </row>
    <row r="8" spans="1:18" ht="17.25">
      <c r="A8" s="30" t="s">
        <v>96</v>
      </c>
      <c r="B8" s="31">
        <v>1216792</v>
      </c>
      <c r="C8" s="32">
        <v>67476.09</v>
      </c>
      <c r="D8" s="67">
        <v>74000</v>
      </c>
      <c r="E8" s="32">
        <v>0</v>
      </c>
      <c r="F8" s="67">
        <v>408500</v>
      </c>
      <c r="G8" s="32">
        <v>0</v>
      </c>
      <c r="H8" s="67">
        <v>335416</v>
      </c>
      <c r="I8" s="32">
        <v>22003.2</v>
      </c>
      <c r="J8" s="67">
        <v>170000</v>
      </c>
      <c r="K8" s="32">
        <v>0</v>
      </c>
      <c r="L8" s="67">
        <v>0</v>
      </c>
      <c r="M8" s="32">
        <v>0</v>
      </c>
      <c r="N8" s="67">
        <v>100000</v>
      </c>
      <c r="O8" s="32">
        <v>105068.69</v>
      </c>
      <c r="P8" s="33">
        <f>+C8+G8+I8+K8+O8+E8</f>
        <v>194547.97999999998</v>
      </c>
      <c r="Q8" s="33">
        <f>+B8+D8+F8+H8+J8+N8-P8+L8</f>
        <v>2110160.02</v>
      </c>
      <c r="R8" s="157"/>
    </row>
    <row r="9" spans="1:17" ht="17.25">
      <c r="A9" s="30" t="s">
        <v>131</v>
      </c>
      <c r="B9" s="31">
        <v>598019</v>
      </c>
      <c r="C9" s="32">
        <v>65773.23</v>
      </c>
      <c r="D9" s="67">
        <v>0</v>
      </c>
      <c r="E9" s="32">
        <v>0</v>
      </c>
      <c r="F9" s="67">
        <v>0</v>
      </c>
      <c r="G9" s="32">
        <v>0</v>
      </c>
      <c r="H9" s="67">
        <v>0</v>
      </c>
      <c r="I9" s="32">
        <v>0</v>
      </c>
      <c r="J9" s="67">
        <v>0</v>
      </c>
      <c r="K9" s="32">
        <v>0</v>
      </c>
      <c r="L9" s="67">
        <v>0</v>
      </c>
      <c r="M9" s="32">
        <v>0</v>
      </c>
      <c r="N9" s="67">
        <v>0</v>
      </c>
      <c r="O9" s="32">
        <v>0</v>
      </c>
      <c r="P9" s="33">
        <f>+C9+G9+I9+K9+O9+E9</f>
        <v>65773.23</v>
      </c>
      <c r="Q9" s="33">
        <f>+B9+D9+F9+H9+J9+N9-P9</f>
        <v>532245.77</v>
      </c>
    </row>
    <row r="10" spans="1:17" ht="10.5" customHeight="1">
      <c r="A10" s="30"/>
      <c r="B10" s="31"/>
      <c r="C10" s="32"/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3"/>
      <c r="Q10" s="33"/>
    </row>
    <row r="11" spans="1:17" ht="18" thickBot="1">
      <c r="A11" s="37" t="s">
        <v>11</v>
      </c>
      <c r="B11" s="38">
        <f>SUM(B8:B9)</f>
        <v>1814811</v>
      </c>
      <c r="C11" s="39">
        <f>SUM(C8:C9)</f>
        <v>133249.32</v>
      </c>
      <c r="D11" s="38">
        <f>SUM(D8:D9)</f>
        <v>74000</v>
      </c>
      <c r="E11" s="39">
        <f>SUM(E8:E9)</f>
        <v>0</v>
      </c>
      <c r="F11" s="38">
        <f>SUM(F8:F10)</f>
        <v>408500</v>
      </c>
      <c r="G11" s="39">
        <f aca="true" t="shared" si="0" ref="G11:Q11">SUM(G8:G9)</f>
        <v>0</v>
      </c>
      <c r="H11" s="38">
        <f t="shared" si="0"/>
        <v>335416</v>
      </c>
      <c r="I11" s="39">
        <f t="shared" si="0"/>
        <v>22003.2</v>
      </c>
      <c r="J11" s="38">
        <f t="shared" si="0"/>
        <v>170000</v>
      </c>
      <c r="K11" s="39">
        <f t="shared" si="0"/>
        <v>0</v>
      </c>
      <c r="L11" s="38">
        <f t="shared" si="0"/>
        <v>0</v>
      </c>
      <c r="M11" s="39">
        <f t="shared" si="0"/>
        <v>0</v>
      </c>
      <c r="N11" s="38">
        <f t="shared" si="0"/>
        <v>100000</v>
      </c>
      <c r="O11" s="39">
        <f t="shared" si="0"/>
        <v>105068.69</v>
      </c>
      <c r="P11" s="41">
        <f t="shared" si="0"/>
        <v>260321.20999999996</v>
      </c>
      <c r="Q11" s="41">
        <f t="shared" si="0"/>
        <v>2642405.79</v>
      </c>
    </row>
    <row r="12" spans="1:17" ht="17.25" thickBot="1">
      <c r="A12" s="42" t="s">
        <v>30</v>
      </c>
      <c r="B12" s="87"/>
      <c r="C12" s="92">
        <f>+C11/B11</f>
        <v>0.0734232490325439</v>
      </c>
      <c r="D12" s="92"/>
      <c r="E12" s="164">
        <f>+E11/D11</f>
        <v>0</v>
      </c>
      <c r="F12" s="164"/>
      <c r="G12" s="164">
        <f>+G11/F11</f>
        <v>0</v>
      </c>
      <c r="H12" s="92"/>
      <c r="I12" s="92">
        <f>+I11/H11</f>
        <v>0.06559973286903428</v>
      </c>
      <c r="J12" s="88"/>
      <c r="K12" s="164">
        <f>+K11/J11</f>
        <v>0</v>
      </c>
      <c r="L12" s="89"/>
      <c r="M12" s="145"/>
      <c r="N12" s="44"/>
      <c r="O12" s="139">
        <f>+O11/N11</f>
        <v>1.0506869</v>
      </c>
      <c r="P12" s="57"/>
      <c r="Q12" s="93"/>
    </row>
    <row r="13" spans="1:18" ht="16.5">
      <c r="A13" s="48"/>
      <c r="B13" s="48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138"/>
      <c r="Q13" s="5"/>
      <c r="R13" s="5"/>
    </row>
    <row r="40" spans="1:8" ht="16.5">
      <c r="A40" s="52"/>
      <c r="B40" s="52"/>
      <c r="C40" s="52"/>
      <c r="D40" s="52"/>
      <c r="G40" s="52"/>
      <c r="H40" s="52"/>
    </row>
    <row r="42" spans="3:8" ht="16.5">
      <c r="C42" s="51"/>
      <c r="D42" s="5"/>
      <c r="G42" s="52"/>
      <c r="H42" s="52"/>
    </row>
    <row r="43" spans="4:8" ht="16.5">
      <c r="D43" s="5"/>
      <c r="H43" s="52"/>
    </row>
    <row r="44" spans="1:8" ht="16.5">
      <c r="A44" s="61" t="s">
        <v>26</v>
      </c>
      <c r="B44" s="70" t="s">
        <v>27</v>
      </c>
      <c r="C44" s="90" t="s">
        <v>28</v>
      </c>
      <c r="D44" s="5"/>
      <c r="H44" s="52"/>
    </row>
    <row r="45" spans="1:8" ht="17.25">
      <c r="A45" s="63">
        <f>+B11</f>
        <v>1814811</v>
      </c>
      <c r="B45" s="64">
        <f>+C11</f>
        <v>133249.32</v>
      </c>
      <c r="C45" s="90" t="s">
        <v>1</v>
      </c>
      <c r="D45" s="5"/>
      <c r="H45" s="52"/>
    </row>
    <row r="46" spans="1:8" ht="17.25">
      <c r="A46" s="63">
        <f>+D11</f>
        <v>74000</v>
      </c>
      <c r="B46" s="64">
        <f>+E11</f>
        <v>0</v>
      </c>
      <c r="C46" s="90" t="s">
        <v>2</v>
      </c>
      <c r="D46" s="5"/>
      <c r="H46" s="52"/>
    </row>
    <row r="47" spans="1:8" ht="17.25">
      <c r="A47" s="63">
        <f>+F11</f>
        <v>408500</v>
      </c>
      <c r="B47" s="64">
        <f>+G11</f>
        <v>0</v>
      </c>
      <c r="C47" s="90" t="s">
        <v>3</v>
      </c>
      <c r="D47" s="5"/>
      <c r="H47" s="52"/>
    </row>
    <row r="48" spans="1:3" ht="17.25">
      <c r="A48" s="63">
        <f>+H11</f>
        <v>335416</v>
      </c>
      <c r="B48" s="64">
        <f>+I11</f>
        <v>22003.2</v>
      </c>
      <c r="C48" s="61" t="s">
        <v>34</v>
      </c>
    </row>
    <row r="49" spans="1:3" ht="17.25">
      <c r="A49" s="63">
        <f>+J11</f>
        <v>170000</v>
      </c>
      <c r="B49" s="64">
        <f>+K11</f>
        <v>0</v>
      </c>
      <c r="C49" s="61" t="s">
        <v>32</v>
      </c>
    </row>
    <row r="50" spans="1:3" ht="17.25">
      <c r="A50" s="65">
        <f>+L11</f>
        <v>0</v>
      </c>
      <c r="B50" s="64">
        <f>+M11</f>
        <v>0</v>
      </c>
      <c r="C50" s="61" t="s">
        <v>95</v>
      </c>
    </row>
    <row r="51" spans="1:3" ht="17.25">
      <c r="A51" s="63">
        <f>+N11</f>
        <v>100000</v>
      </c>
      <c r="B51" s="64">
        <f>+O11</f>
        <v>105068.69</v>
      </c>
      <c r="C51" s="61" t="s">
        <v>35</v>
      </c>
    </row>
    <row r="52" spans="1:3" ht="17.25">
      <c r="A52" s="63">
        <v>565834</v>
      </c>
      <c r="B52" s="64">
        <v>158443.27</v>
      </c>
      <c r="C52" s="94"/>
    </row>
    <row r="53" ht="16.5">
      <c r="C53" s="94"/>
    </row>
    <row r="54" ht="16.5">
      <c r="C54" s="94"/>
    </row>
  </sheetData>
  <sheetProtection/>
  <mergeCells count="9">
    <mergeCell ref="N6:O6"/>
    <mergeCell ref="B6:C6"/>
    <mergeCell ref="D6:E6"/>
    <mergeCell ref="F6:G6"/>
    <mergeCell ref="H6:I6"/>
    <mergeCell ref="B2:E2"/>
    <mergeCell ref="I2:J2"/>
    <mergeCell ref="B3:C3"/>
    <mergeCell ref="J6:K6"/>
  </mergeCells>
  <printOptions/>
  <pageMargins left="0.91" right="0.63" top="0.83" bottom="0.5" header="0.38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P18" sqref="P18"/>
    </sheetView>
  </sheetViews>
  <sheetFormatPr defaultColWidth="11.421875" defaultRowHeight="15"/>
  <cols>
    <col min="1" max="1" width="12.57421875" style="1" customWidth="1"/>
    <col min="2" max="2" width="8.7109375" style="1" customWidth="1"/>
    <col min="3" max="3" width="9.57421875" style="1" customWidth="1"/>
    <col min="4" max="4" width="7.8515625" style="1" customWidth="1"/>
    <col min="5" max="5" width="8.7109375" style="1" customWidth="1"/>
    <col min="6" max="6" width="7.57421875" style="1" customWidth="1"/>
    <col min="7" max="7" width="10.00390625" style="1" customWidth="1"/>
    <col min="8" max="8" width="7.28125" style="1" customWidth="1"/>
    <col min="9" max="9" width="9.140625" style="1" customWidth="1"/>
    <col min="10" max="10" width="7.421875" style="1" customWidth="1"/>
    <col min="11" max="11" width="9.28125" style="1" customWidth="1"/>
    <col min="12" max="12" width="7.28125" style="1" customWidth="1"/>
    <col min="13" max="13" width="9.8515625" style="1" customWidth="1"/>
    <col min="14" max="14" width="10.140625" style="1" customWidth="1"/>
    <col min="15" max="15" width="11.140625" style="1" customWidth="1"/>
    <col min="16" max="16384" width="11.421875" style="1" customWidth="1"/>
  </cols>
  <sheetData>
    <row r="2" spans="1:12" ht="18">
      <c r="A2" s="144" t="s">
        <v>0</v>
      </c>
      <c r="B2" s="168" t="s">
        <v>111</v>
      </c>
      <c r="C2" s="185"/>
      <c r="D2" s="173"/>
      <c r="E2" s="173"/>
      <c r="I2" s="177" t="s">
        <v>23</v>
      </c>
      <c r="J2" s="177"/>
      <c r="K2" s="149">
        <v>41275</v>
      </c>
      <c r="L2" s="19"/>
    </row>
    <row r="3" spans="2:4" ht="16.5">
      <c r="B3" s="183"/>
      <c r="C3" s="184"/>
      <c r="D3" s="95"/>
    </row>
    <row r="5" ht="17.25" thickBot="1"/>
    <row r="6" spans="1:15" ht="17.25">
      <c r="A6" s="24"/>
      <c r="B6" s="175" t="s">
        <v>1</v>
      </c>
      <c r="C6" s="176"/>
      <c r="D6" s="175" t="s">
        <v>2</v>
      </c>
      <c r="E6" s="176"/>
      <c r="F6" s="175" t="s">
        <v>3</v>
      </c>
      <c r="G6" s="176"/>
      <c r="H6" s="175" t="s">
        <v>4</v>
      </c>
      <c r="I6" s="176"/>
      <c r="J6" s="175" t="s">
        <v>32</v>
      </c>
      <c r="K6" s="176"/>
      <c r="L6" s="175" t="s">
        <v>33</v>
      </c>
      <c r="M6" s="176"/>
      <c r="N6" s="25" t="s">
        <v>5</v>
      </c>
      <c r="O6" s="25" t="s">
        <v>38</v>
      </c>
    </row>
    <row r="7" spans="1:15" ht="17.25">
      <c r="A7" s="26"/>
      <c r="B7" s="27" t="s">
        <v>31</v>
      </c>
      <c r="C7" s="27" t="s">
        <v>37</v>
      </c>
      <c r="D7" s="27" t="s">
        <v>31</v>
      </c>
      <c r="E7" s="27" t="s">
        <v>37</v>
      </c>
      <c r="F7" s="27" t="s">
        <v>31</v>
      </c>
      <c r="G7" s="27" t="s">
        <v>37</v>
      </c>
      <c r="H7" s="27" t="s">
        <v>31</v>
      </c>
      <c r="I7" s="27" t="s">
        <v>37</v>
      </c>
      <c r="J7" s="27" t="s">
        <v>31</v>
      </c>
      <c r="K7" s="27" t="s">
        <v>37</v>
      </c>
      <c r="L7" s="27" t="s">
        <v>31</v>
      </c>
      <c r="M7" s="27" t="s">
        <v>37</v>
      </c>
      <c r="N7" s="28" t="s">
        <v>25</v>
      </c>
      <c r="O7" s="29" t="s">
        <v>39</v>
      </c>
    </row>
    <row r="8" spans="1:15" ht="16.5">
      <c r="A8" s="96"/>
      <c r="B8" s="97"/>
      <c r="C8" s="32"/>
      <c r="D8" s="35"/>
      <c r="E8" s="32"/>
      <c r="F8" s="35"/>
      <c r="G8" s="32"/>
      <c r="H8" s="35"/>
      <c r="I8" s="32"/>
      <c r="J8" s="35"/>
      <c r="K8" s="32"/>
      <c r="L8" s="35"/>
      <c r="M8" s="32"/>
      <c r="N8" s="33"/>
      <c r="O8" s="33"/>
    </row>
    <row r="9" spans="1:15" ht="17.25">
      <c r="A9" s="30" t="s">
        <v>91</v>
      </c>
      <c r="B9" s="56">
        <v>581329</v>
      </c>
      <c r="C9" s="32">
        <v>36314.01</v>
      </c>
      <c r="D9" s="75">
        <v>2500</v>
      </c>
      <c r="E9" s="32">
        <v>0</v>
      </c>
      <c r="F9" s="75">
        <v>92100</v>
      </c>
      <c r="G9" s="32">
        <v>7400</v>
      </c>
      <c r="H9" s="75">
        <v>0</v>
      </c>
      <c r="I9" s="32">
        <v>0</v>
      </c>
      <c r="J9" s="75">
        <v>0</v>
      </c>
      <c r="K9" s="32">
        <v>0</v>
      </c>
      <c r="L9" s="75">
        <v>50000</v>
      </c>
      <c r="M9" s="32">
        <v>35151.17</v>
      </c>
      <c r="N9" s="33">
        <f>+M9+K9+I9+G9+E9+C9</f>
        <v>78865.18</v>
      </c>
      <c r="O9" s="33">
        <f>+B9+D9+F9+H9+J9+L9-N9</f>
        <v>647063.8200000001</v>
      </c>
    </row>
    <row r="10" spans="1:15" ht="16.5">
      <c r="A10" s="96"/>
      <c r="B10" s="97"/>
      <c r="C10" s="32"/>
      <c r="D10" s="35"/>
      <c r="E10" s="32"/>
      <c r="F10" s="35"/>
      <c r="G10" s="32"/>
      <c r="H10" s="35"/>
      <c r="I10" s="32"/>
      <c r="J10" s="35"/>
      <c r="K10" s="32"/>
      <c r="L10" s="35"/>
      <c r="M10" s="32"/>
      <c r="N10" s="33"/>
      <c r="O10" s="33"/>
    </row>
    <row r="11" spans="1:15" ht="16.5">
      <c r="A11" s="96"/>
      <c r="B11" s="97"/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3"/>
      <c r="O11" s="33"/>
    </row>
    <row r="12" spans="1:15" ht="18" thickBot="1">
      <c r="A12" s="37" t="s">
        <v>11</v>
      </c>
      <c r="B12" s="38">
        <f>SUM(B9:B11)</f>
        <v>581329</v>
      </c>
      <c r="C12" s="39">
        <f>SUM(C9)</f>
        <v>36314.01</v>
      </c>
      <c r="D12" s="38">
        <f>SUM(D9:D11)</f>
        <v>2500</v>
      </c>
      <c r="E12" s="39">
        <f>SUM(E9)</f>
        <v>0</v>
      </c>
      <c r="F12" s="38">
        <f>SUM(F9:F11)</f>
        <v>92100</v>
      </c>
      <c r="G12" s="39">
        <f>SUM(G9)</f>
        <v>7400</v>
      </c>
      <c r="H12" s="98">
        <f>SUM(H9:H11)</f>
        <v>0</v>
      </c>
      <c r="I12" s="39">
        <v>0</v>
      </c>
      <c r="J12" s="38">
        <f>SUM(J9:J11)</f>
        <v>0</v>
      </c>
      <c r="K12" s="39">
        <f>SUM(K9)</f>
        <v>0</v>
      </c>
      <c r="L12" s="38">
        <f>SUM(L9:L11)</f>
        <v>50000</v>
      </c>
      <c r="M12" s="39">
        <f>SUM(M9)</f>
        <v>35151.17</v>
      </c>
      <c r="N12" s="41">
        <f>SUM(N9)</f>
        <v>78865.18</v>
      </c>
      <c r="O12" s="41">
        <f>SUM(O9)</f>
        <v>647063.8200000001</v>
      </c>
    </row>
    <row r="13" spans="1:15" ht="17.25" thickBot="1">
      <c r="A13" s="42" t="s">
        <v>30</v>
      </c>
      <c r="B13" s="87"/>
      <c r="C13" s="92">
        <f>+C12/B12</f>
        <v>0.06246722595982654</v>
      </c>
      <c r="D13" s="88"/>
      <c r="E13" s="164">
        <f>+E12/D12</f>
        <v>0</v>
      </c>
      <c r="F13" s="88"/>
      <c r="G13" s="92">
        <f>+G12/F12</f>
        <v>0.08034744842562432</v>
      </c>
      <c r="H13" s="88"/>
      <c r="I13" s="88"/>
      <c r="J13" s="88"/>
      <c r="K13" s="46"/>
      <c r="L13" s="44"/>
      <c r="M13" s="139">
        <f>+M12/L12</f>
        <v>0.7030234</v>
      </c>
      <c r="N13" s="57"/>
      <c r="O13" s="5"/>
    </row>
    <row r="14" spans="1:14" ht="16.5">
      <c r="A14" s="48"/>
      <c r="B14" s="4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33" spans="5:10" ht="16.5">
      <c r="E33" s="60"/>
      <c r="F33" s="60"/>
      <c r="J33" s="60"/>
    </row>
    <row r="44" spans="1:8" ht="16.5">
      <c r="A44" s="52"/>
      <c r="B44" s="52"/>
      <c r="C44" s="52"/>
      <c r="D44" s="52"/>
      <c r="G44" s="52"/>
      <c r="H44" s="52"/>
    </row>
    <row r="46" spans="3:8" ht="16.5">
      <c r="C46" s="5"/>
      <c r="D46" s="5"/>
      <c r="G46" s="52"/>
      <c r="H46" s="52"/>
    </row>
    <row r="47" spans="4:8" ht="16.5">
      <c r="D47" s="5"/>
      <c r="H47" s="52"/>
    </row>
    <row r="48" spans="1:8" ht="16.5">
      <c r="A48" s="70" t="s">
        <v>26</v>
      </c>
      <c r="B48" s="70" t="s">
        <v>27</v>
      </c>
      <c r="C48" s="90" t="s">
        <v>28</v>
      </c>
      <c r="D48" s="5"/>
      <c r="H48" s="52"/>
    </row>
    <row r="49" spans="1:8" ht="17.25">
      <c r="A49" s="64">
        <f>+B12</f>
        <v>581329</v>
      </c>
      <c r="B49" s="64">
        <f>+C12</f>
        <v>36314.01</v>
      </c>
      <c r="C49" s="90" t="s">
        <v>1</v>
      </c>
      <c r="D49" s="5"/>
      <c r="H49" s="52"/>
    </row>
    <row r="50" spans="1:8" ht="17.25">
      <c r="A50" s="64">
        <f>+D12</f>
        <v>2500</v>
      </c>
      <c r="B50" s="64">
        <f>+E12</f>
        <v>0</v>
      </c>
      <c r="C50" s="90" t="s">
        <v>2</v>
      </c>
      <c r="D50" s="5"/>
      <c r="H50" s="52"/>
    </row>
    <row r="51" spans="1:8" ht="17.25">
      <c r="A51" s="64">
        <f>+F12</f>
        <v>92100</v>
      </c>
      <c r="B51" s="64">
        <f>+G12</f>
        <v>7400</v>
      </c>
      <c r="C51" s="90" t="s">
        <v>3</v>
      </c>
      <c r="D51" s="5"/>
      <c r="H51" s="52"/>
    </row>
    <row r="52" spans="1:3" ht="17.25">
      <c r="A52" s="64">
        <f>+J12</f>
        <v>0</v>
      </c>
      <c r="B52" s="64">
        <f>+K12</f>
        <v>0</v>
      </c>
      <c r="C52" s="61" t="s">
        <v>32</v>
      </c>
    </row>
    <row r="53" spans="1:3" ht="17.25">
      <c r="A53" s="64">
        <f>+L12</f>
        <v>50000</v>
      </c>
      <c r="B53" s="64">
        <f>+M12</f>
        <v>35151.17</v>
      </c>
      <c r="C53" s="61" t="s">
        <v>35</v>
      </c>
    </row>
    <row r="54" spans="1:2" ht="17.25">
      <c r="A54" s="63"/>
      <c r="B54" s="63"/>
    </row>
    <row r="55" spans="1:2" ht="17.25">
      <c r="A55" s="63">
        <v>167558</v>
      </c>
      <c r="B55" s="64">
        <v>40952.32</v>
      </c>
    </row>
    <row r="56" spans="1:2" ht="17.25">
      <c r="A56" s="63"/>
      <c r="B56" s="63"/>
    </row>
  </sheetData>
  <sheetProtection/>
  <mergeCells count="9">
    <mergeCell ref="I2:J2"/>
    <mergeCell ref="L6:M6"/>
    <mergeCell ref="J6:K6"/>
    <mergeCell ref="H6:I6"/>
    <mergeCell ref="B2:E2"/>
    <mergeCell ref="F6:G6"/>
    <mergeCell ref="B3:C3"/>
    <mergeCell ref="D6:E6"/>
    <mergeCell ref="B6:C6"/>
  </mergeCells>
  <printOptions/>
  <pageMargins left="2.28" right="0.75" top="0.88" bottom="0.54" header="0.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1" width="13.8515625" style="1" customWidth="1"/>
    <col min="2" max="2" width="10.140625" style="1" customWidth="1"/>
    <col min="3" max="3" width="12.57421875" style="1" customWidth="1"/>
    <col min="4" max="4" width="9.140625" style="1" customWidth="1"/>
    <col min="5" max="5" width="9.7109375" style="1" customWidth="1"/>
    <col min="6" max="6" width="9.421875" style="1" customWidth="1"/>
    <col min="7" max="7" width="11.8515625" style="1" customWidth="1"/>
    <col min="8" max="8" width="7.8515625" style="1" customWidth="1"/>
    <col min="9" max="9" width="9.421875" style="1" customWidth="1"/>
    <col min="10" max="10" width="9.28125" style="1" customWidth="1"/>
    <col min="11" max="11" width="8.57421875" style="1" customWidth="1"/>
    <col min="12" max="12" width="9.421875" style="1" customWidth="1"/>
    <col min="13" max="13" width="10.28125" style="1" customWidth="1"/>
    <col min="14" max="14" width="9.421875" style="1" customWidth="1"/>
    <col min="15" max="15" width="12.421875" style="1" customWidth="1"/>
    <col min="16" max="16" width="12.140625" style="1" customWidth="1"/>
    <col min="17" max="17" width="13.00390625" style="1" customWidth="1"/>
    <col min="18" max="18" width="12.140625" style="1" bestFit="1" customWidth="1"/>
    <col min="19" max="16384" width="11.421875" style="1" customWidth="1"/>
  </cols>
  <sheetData>
    <row r="1" spans="1:15" ht="18">
      <c r="A1" s="144" t="s">
        <v>0</v>
      </c>
      <c r="B1" s="168" t="s">
        <v>112</v>
      </c>
      <c r="C1" s="180"/>
      <c r="D1" s="180"/>
      <c r="E1" s="180"/>
      <c r="F1" s="181"/>
      <c r="L1" s="177" t="s">
        <v>23</v>
      </c>
      <c r="M1" s="178"/>
      <c r="N1" s="149">
        <v>41275</v>
      </c>
      <c r="O1" s="22"/>
    </row>
    <row r="2" spans="2:4" ht="4.5" customHeight="1">
      <c r="B2" s="183"/>
      <c r="C2" s="184"/>
      <c r="D2" s="184"/>
    </row>
    <row r="3" ht="17.25" thickBot="1"/>
    <row r="4" spans="1:17" ht="17.25">
      <c r="A4" s="24"/>
      <c r="B4" s="175" t="s">
        <v>1</v>
      </c>
      <c r="C4" s="176"/>
      <c r="D4" s="175" t="s">
        <v>2</v>
      </c>
      <c r="E4" s="176"/>
      <c r="F4" s="175" t="s">
        <v>3</v>
      </c>
      <c r="G4" s="176"/>
      <c r="H4" s="175" t="s">
        <v>34</v>
      </c>
      <c r="I4" s="176"/>
      <c r="J4" s="175" t="s">
        <v>32</v>
      </c>
      <c r="K4" s="176"/>
      <c r="L4" s="175" t="s">
        <v>36</v>
      </c>
      <c r="M4" s="176"/>
      <c r="N4" s="175" t="s">
        <v>33</v>
      </c>
      <c r="O4" s="176"/>
      <c r="P4" s="25" t="s">
        <v>5</v>
      </c>
      <c r="Q4" s="25" t="s">
        <v>38</v>
      </c>
    </row>
    <row r="5" spans="1:17" ht="17.25">
      <c r="A5" s="26"/>
      <c r="B5" s="27" t="s">
        <v>31</v>
      </c>
      <c r="C5" s="27" t="s">
        <v>37</v>
      </c>
      <c r="D5" s="27" t="s">
        <v>31</v>
      </c>
      <c r="E5" s="27" t="s">
        <v>37</v>
      </c>
      <c r="F5" s="27" t="s">
        <v>31</v>
      </c>
      <c r="G5" s="27" t="s">
        <v>37</v>
      </c>
      <c r="H5" s="27" t="s">
        <v>31</v>
      </c>
      <c r="I5" s="27" t="s">
        <v>37</v>
      </c>
      <c r="J5" s="27" t="s">
        <v>31</v>
      </c>
      <c r="K5" s="27" t="s">
        <v>37</v>
      </c>
      <c r="L5" s="27" t="s">
        <v>31</v>
      </c>
      <c r="M5" s="27" t="s">
        <v>37</v>
      </c>
      <c r="N5" s="27" t="s">
        <v>31</v>
      </c>
      <c r="O5" s="27" t="s">
        <v>37</v>
      </c>
      <c r="P5" s="124" t="s">
        <v>25</v>
      </c>
      <c r="Q5" s="29" t="s">
        <v>39</v>
      </c>
    </row>
    <row r="6" spans="1:17" ht="17.25">
      <c r="A6" s="30" t="s">
        <v>14</v>
      </c>
      <c r="B6" s="31">
        <v>2107336</v>
      </c>
      <c r="C6" s="32">
        <f>80046.17+1238207.23+11358.65+15805.43</f>
        <v>1345417.4799999997</v>
      </c>
      <c r="D6" s="67">
        <v>132534</v>
      </c>
      <c r="E6" s="32">
        <v>1466.4</v>
      </c>
      <c r="F6" s="67">
        <v>487224</v>
      </c>
      <c r="G6" s="32">
        <f>23205+1900</f>
        <v>25105</v>
      </c>
      <c r="H6" s="67">
        <v>138092</v>
      </c>
      <c r="I6" s="32">
        <v>241.56</v>
      </c>
      <c r="J6" s="67">
        <v>12096</v>
      </c>
      <c r="K6" s="32">
        <v>0</v>
      </c>
      <c r="L6" s="67">
        <v>112000</v>
      </c>
      <c r="M6" s="32">
        <v>0</v>
      </c>
      <c r="N6" s="67">
        <v>1500000</v>
      </c>
      <c r="O6" s="32">
        <v>82395.92</v>
      </c>
      <c r="P6" s="33">
        <f aca="true" t="shared" si="0" ref="P6:P11">+O6+M6+K6+I6+G6+E6+C6</f>
        <v>1454626.3599999996</v>
      </c>
      <c r="Q6" s="33">
        <f aca="true" t="shared" si="1" ref="Q6:Q12">+B6+D6+F6+H6+J6+L6+N6-P6</f>
        <v>3034655.6400000006</v>
      </c>
    </row>
    <row r="7" spans="1:17" ht="17.25">
      <c r="A7" s="30" t="s">
        <v>113</v>
      </c>
      <c r="B7" s="31">
        <v>2581333</v>
      </c>
      <c r="C7" s="32">
        <f>87914.11+42875.75+44335.88</f>
        <v>175125.74</v>
      </c>
      <c r="D7" s="67">
        <v>190136</v>
      </c>
      <c r="E7" s="32">
        <v>0</v>
      </c>
      <c r="F7" s="67">
        <v>380876</v>
      </c>
      <c r="G7" s="32">
        <f>13788.25+4300</f>
        <v>18088.25</v>
      </c>
      <c r="H7" s="67">
        <v>55000</v>
      </c>
      <c r="I7" s="32">
        <v>0</v>
      </c>
      <c r="J7" s="67">
        <v>30240</v>
      </c>
      <c r="K7" s="32">
        <v>0</v>
      </c>
      <c r="L7" s="67">
        <v>457000</v>
      </c>
      <c r="M7" s="32">
        <v>0</v>
      </c>
      <c r="N7" s="67">
        <v>0</v>
      </c>
      <c r="O7" s="32">
        <v>162878.61</v>
      </c>
      <c r="P7" s="33">
        <f>+O7+M7+K7+I7+G7+E7+C7</f>
        <v>356092.6</v>
      </c>
      <c r="Q7" s="33">
        <f t="shared" si="1"/>
        <v>3338492.4</v>
      </c>
    </row>
    <row r="8" spans="1:18" ht="17.25">
      <c r="A8" s="30" t="s">
        <v>114</v>
      </c>
      <c r="B8" s="31">
        <v>10474251</v>
      </c>
      <c r="C8" s="32">
        <f>696910.82+5387.84</f>
        <v>702298.6599999999</v>
      </c>
      <c r="D8" s="67">
        <v>2188687</v>
      </c>
      <c r="E8" s="32">
        <f>4631.07+2391</f>
        <v>7022.07</v>
      </c>
      <c r="F8" s="67">
        <v>2714120</v>
      </c>
      <c r="G8" s="32">
        <f>78616.08+67053</f>
        <v>145669.08000000002</v>
      </c>
      <c r="H8" s="67">
        <v>0</v>
      </c>
      <c r="I8" s="32">
        <v>0</v>
      </c>
      <c r="J8" s="67">
        <f>1921850+168000</f>
        <v>2089850</v>
      </c>
      <c r="K8" s="32">
        <v>0</v>
      </c>
      <c r="L8" s="67">
        <v>0</v>
      </c>
      <c r="M8" s="32">
        <v>0</v>
      </c>
      <c r="N8" s="67">
        <v>0</v>
      </c>
      <c r="O8" s="32">
        <v>626309.79</v>
      </c>
      <c r="P8" s="33">
        <f t="shared" si="0"/>
        <v>1481299.6</v>
      </c>
      <c r="Q8" s="33">
        <f t="shared" si="1"/>
        <v>15985608.4</v>
      </c>
      <c r="R8" s="157"/>
    </row>
    <row r="9" spans="1:17" ht="17.25">
      <c r="A9" s="30" t="s">
        <v>40</v>
      </c>
      <c r="B9" s="31">
        <v>4768632</v>
      </c>
      <c r="C9" s="32">
        <f>280492.76+2206.07</f>
        <v>282698.83</v>
      </c>
      <c r="D9" s="67">
        <v>1191341</v>
      </c>
      <c r="E9" s="32">
        <f>3711.02+355.76</f>
        <v>4066.7799999999997</v>
      </c>
      <c r="F9" s="67">
        <v>493153</v>
      </c>
      <c r="G9" s="32">
        <f>55440.9+10576.5</f>
        <v>66017.4</v>
      </c>
      <c r="H9" s="67">
        <v>0</v>
      </c>
      <c r="I9" s="32">
        <v>0</v>
      </c>
      <c r="J9" s="67">
        <v>15000</v>
      </c>
      <c r="K9" s="32">
        <v>0</v>
      </c>
      <c r="L9" s="67">
        <v>0</v>
      </c>
      <c r="M9" s="32">
        <v>0</v>
      </c>
      <c r="N9" s="67">
        <v>0</v>
      </c>
      <c r="O9" s="32">
        <v>218254.08</v>
      </c>
      <c r="P9" s="33">
        <f t="shared" si="0"/>
        <v>571037.0900000001</v>
      </c>
      <c r="Q9" s="33">
        <f t="shared" si="1"/>
        <v>5897088.91</v>
      </c>
    </row>
    <row r="10" spans="1:17" ht="17.25">
      <c r="A10" s="30" t="s">
        <v>115</v>
      </c>
      <c r="B10" s="31">
        <v>224426</v>
      </c>
      <c r="C10" s="32">
        <v>8047.76</v>
      </c>
      <c r="D10" s="99">
        <v>394054</v>
      </c>
      <c r="E10" s="79">
        <v>0</v>
      </c>
      <c r="F10" s="99">
        <v>26800</v>
      </c>
      <c r="G10" s="79">
        <v>0</v>
      </c>
      <c r="H10" s="99">
        <v>0</v>
      </c>
      <c r="I10" s="79">
        <v>0</v>
      </c>
      <c r="J10" s="99">
        <v>115000</v>
      </c>
      <c r="K10" s="79">
        <v>0</v>
      </c>
      <c r="L10" s="99">
        <v>1763400</v>
      </c>
      <c r="M10" s="79">
        <v>0</v>
      </c>
      <c r="N10" s="99">
        <v>0</v>
      </c>
      <c r="O10" s="79">
        <v>9983.91</v>
      </c>
      <c r="P10" s="33">
        <f t="shared" si="0"/>
        <v>18031.67</v>
      </c>
      <c r="Q10" s="33">
        <f t="shared" si="1"/>
        <v>2505648.33</v>
      </c>
    </row>
    <row r="11" spans="1:17" ht="17.25">
      <c r="A11" s="30" t="s">
        <v>116</v>
      </c>
      <c r="B11" s="31">
        <v>1038817</v>
      </c>
      <c r="C11" s="32">
        <v>65537.45</v>
      </c>
      <c r="D11" s="67">
        <v>639137</v>
      </c>
      <c r="E11" s="32">
        <v>0</v>
      </c>
      <c r="F11" s="67">
        <v>2736000</v>
      </c>
      <c r="G11" s="32">
        <v>224452.25</v>
      </c>
      <c r="H11" s="99">
        <v>0</v>
      </c>
      <c r="I11" s="32">
        <v>2700</v>
      </c>
      <c r="J11" s="99">
        <v>0</v>
      </c>
      <c r="K11" s="32">
        <v>0</v>
      </c>
      <c r="L11" s="99">
        <v>0</v>
      </c>
      <c r="M11" s="32">
        <v>0</v>
      </c>
      <c r="N11" s="99">
        <v>0</v>
      </c>
      <c r="O11" s="32">
        <v>57103.86</v>
      </c>
      <c r="P11" s="33">
        <f t="shared" si="0"/>
        <v>349793.56</v>
      </c>
      <c r="Q11" s="33">
        <f t="shared" si="1"/>
        <v>4064160.44</v>
      </c>
    </row>
    <row r="12" spans="1:17" ht="17.25">
      <c r="A12" s="30" t="s">
        <v>79</v>
      </c>
      <c r="B12" s="31">
        <v>7668013</v>
      </c>
      <c r="C12" s="32">
        <f>502287.71+1680.32+43436.65+7853.1</f>
        <v>555257.78</v>
      </c>
      <c r="D12" s="67">
        <v>525165</v>
      </c>
      <c r="E12" s="32">
        <f>2353+6155.48</f>
        <v>8508.48</v>
      </c>
      <c r="F12" s="67">
        <v>712987</v>
      </c>
      <c r="G12" s="32">
        <f>25885.06+38337.89</f>
        <v>64222.95</v>
      </c>
      <c r="H12" s="67">
        <v>2400</v>
      </c>
      <c r="I12" s="32">
        <v>0</v>
      </c>
      <c r="J12" s="67">
        <v>686879</v>
      </c>
      <c r="K12" s="32">
        <v>0</v>
      </c>
      <c r="L12" s="67">
        <v>941000</v>
      </c>
      <c r="M12" s="32">
        <v>26548.58</v>
      </c>
      <c r="N12" s="67">
        <v>0</v>
      </c>
      <c r="O12" s="32">
        <v>387293.63</v>
      </c>
      <c r="P12" s="33">
        <f>+O12+M12+K12+I12+G12+E12+C12</f>
        <v>1041831.42</v>
      </c>
      <c r="Q12" s="33">
        <f t="shared" si="1"/>
        <v>9494612.58</v>
      </c>
    </row>
    <row r="13" spans="1:17" ht="18" thickBot="1">
      <c r="A13" s="37" t="s">
        <v>11</v>
      </c>
      <c r="B13" s="38">
        <f aca="true" t="shared" si="2" ref="B13:Q13">SUM(B6:B12)</f>
        <v>28862808</v>
      </c>
      <c r="C13" s="39">
        <f t="shared" si="2"/>
        <v>3134383.7</v>
      </c>
      <c r="D13" s="38">
        <f t="shared" si="2"/>
        <v>5261054</v>
      </c>
      <c r="E13" s="39">
        <f t="shared" si="2"/>
        <v>21063.73</v>
      </c>
      <c r="F13" s="38">
        <f t="shared" si="2"/>
        <v>7551160</v>
      </c>
      <c r="G13" s="39">
        <f t="shared" si="2"/>
        <v>543554.9299999999</v>
      </c>
      <c r="H13" s="38">
        <f t="shared" si="2"/>
        <v>195492</v>
      </c>
      <c r="I13" s="39">
        <f t="shared" si="2"/>
        <v>2941.56</v>
      </c>
      <c r="J13" s="38">
        <f t="shared" si="2"/>
        <v>2949065</v>
      </c>
      <c r="K13" s="39">
        <f t="shared" si="2"/>
        <v>0</v>
      </c>
      <c r="L13" s="38">
        <f t="shared" si="2"/>
        <v>3273400</v>
      </c>
      <c r="M13" s="39">
        <f t="shared" si="2"/>
        <v>26548.58</v>
      </c>
      <c r="N13" s="38">
        <f t="shared" si="2"/>
        <v>1500000</v>
      </c>
      <c r="O13" s="39">
        <f t="shared" si="2"/>
        <v>1544219.8000000003</v>
      </c>
      <c r="P13" s="41">
        <f t="shared" si="2"/>
        <v>5272712.299999999</v>
      </c>
      <c r="Q13" s="41">
        <f t="shared" si="2"/>
        <v>44320266.699999996</v>
      </c>
    </row>
    <row r="14" spans="1:17" ht="17.25" thickBot="1">
      <c r="A14" s="37" t="s">
        <v>30</v>
      </c>
      <c r="B14" s="87"/>
      <c r="C14" s="92">
        <f>+C13/B13</f>
        <v>0.10859593772026617</v>
      </c>
      <c r="D14" s="92"/>
      <c r="E14" s="92">
        <f>+E13/D13</f>
        <v>0.0040037091426927</v>
      </c>
      <c r="F14" s="92"/>
      <c r="G14" s="92">
        <f>+G13/F13</f>
        <v>0.07198297082832306</v>
      </c>
      <c r="H14" s="92"/>
      <c r="I14" s="92">
        <f>+I13/H13</f>
        <v>0.015046958443312258</v>
      </c>
      <c r="J14" s="92"/>
      <c r="K14" s="164">
        <f>+K13/J13</f>
        <v>0</v>
      </c>
      <c r="L14" s="147"/>
      <c r="M14" s="145">
        <f>+M13/L13</f>
        <v>0.008110398973544328</v>
      </c>
      <c r="N14" s="44"/>
      <c r="O14" s="139">
        <f>+O13/N13</f>
        <v>1.029479866666667</v>
      </c>
      <c r="P14" s="57"/>
      <c r="Q14" s="5"/>
    </row>
    <row r="15" spans="1:17" ht="16.5">
      <c r="A15" s="48"/>
      <c r="B15" s="4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138"/>
      <c r="Q15" s="5"/>
    </row>
    <row r="16" spans="16:17" ht="16.5">
      <c r="P16" s="5"/>
      <c r="Q16" s="5"/>
    </row>
    <row r="33" ht="16.5">
      <c r="J33" s="60"/>
    </row>
    <row r="38" spans="1:6" ht="16.5">
      <c r="A38" s="52"/>
      <c r="B38" s="52"/>
      <c r="C38" s="52"/>
      <c r="D38" s="52"/>
      <c r="E38" s="52"/>
      <c r="F38" s="52"/>
    </row>
    <row r="40" spans="3:6" ht="16.5">
      <c r="C40" s="51"/>
      <c r="D40" s="5"/>
      <c r="E40" s="52"/>
      <c r="F40" s="52"/>
    </row>
    <row r="41" spans="3:6" ht="16.5">
      <c r="C41" s="51"/>
      <c r="D41" s="5"/>
      <c r="E41" s="52"/>
      <c r="F41" s="52"/>
    </row>
    <row r="42" spans="3:6" ht="16.5">
      <c r="C42" s="51"/>
      <c r="D42" s="5"/>
      <c r="E42" s="52"/>
      <c r="F42" s="52"/>
    </row>
    <row r="43" spans="1:6" ht="16.5">
      <c r="A43" s="77"/>
      <c r="C43" s="51"/>
      <c r="D43" s="5"/>
      <c r="E43" s="52"/>
      <c r="F43" s="52"/>
    </row>
    <row r="44" spans="3:6" ht="16.5">
      <c r="C44" s="51"/>
      <c r="D44" s="5"/>
      <c r="E44" s="52"/>
      <c r="F44" s="52"/>
    </row>
    <row r="45" spans="3:6" ht="16.5">
      <c r="C45" s="51"/>
      <c r="D45" s="5"/>
      <c r="E45" s="52"/>
      <c r="F45" s="52"/>
    </row>
    <row r="46" spans="3:6" ht="16.5">
      <c r="C46" s="51"/>
      <c r="D46" s="5"/>
      <c r="E46" s="52"/>
      <c r="F46" s="52"/>
    </row>
    <row r="47" ht="16.5">
      <c r="C47" s="47"/>
    </row>
    <row r="49" spans="1:4" ht="16.5">
      <c r="A49" s="61" t="s">
        <v>26</v>
      </c>
      <c r="B49" s="70" t="s">
        <v>27</v>
      </c>
      <c r="C49" s="61" t="s">
        <v>28</v>
      </c>
      <c r="D49" s="61"/>
    </row>
    <row r="50" spans="1:3" ht="17.25">
      <c r="A50" s="63">
        <f>+B13</f>
        <v>28862808</v>
      </c>
      <c r="B50" s="64">
        <f>+C13</f>
        <v>3134383.7</v>
      </c>
      <c r="C50" s="61" t="s">
        <v>1</v>
      </c>
    </row>
    <row r="51" spans="1:3" ht="17.25">
      <c r="A51" s="63">
        <f>+D13</f>
        <v>5261054</v>
      </c>
      <c r="B51" s="64">
        <f>+E13</f>
        <v>21063.73</v>
      </c>
      <c r="C51" s="61" t="s">
        <v>2</v>
      </c>
    </row>
    <row r="52" spans="1:3" ht="17.25">
      <c r="A52" s="63">
        <f>+F13</f>
        <v>7551160</v>
      </c>
      <c r="B52" s="64">
        <f>+G13</f>
        <v>543554.9299999999</v>
      </c>
      <c r="C52" s="61" t="s">
        <v>3</v>
      </c>
    </row>
    <row r="53" spans="1:3" ht="17.25">
      <c r="A53" s="65">
        <f>+H13</f>
        <v>195492</v>
      </c>
      <c r="B53" s="64">
        <f>+I13</f>
        <v>2941.56</v>
      </c>
      <c r="C53" s="61" t="s">
        <v>34</v>
      </c>
    </row>
    <row r="54" spans="1:3" ht="17.25">
      <c r="A54" s="65">
        <f>+J13</f>
        <v>2949065</v>
      </c>
      <c r="B54" s="64">
        <f>+K13</f>
        <v>0</v>
      </c>
      <c r="C54" s="61" t="s">
        <v>32</v>
      </c>
    </row>
    <row r="55" spans="1:3" ht="17.25">
      <c r="A55" s="63">
        <f>+L13</f>
        <v>3273400</v>
      </c>
      <c r="B55" s="64">
        <f>+M13</f>
        <v>26548.58</v>
      </c>
      <c r="C55" s="61" t="s">
        <v>29</v>
      </c>
    </row>
    <row r="56" spans="1:3" ht="17.25">
      <c r="A56" s="63">
        <f>+N13</f>
        <v>1500000</v>
      </c>
      <c r="B56" s="64">
        <f>+O13</f>
        <v>1544219.8000000003</v>
      </c>
      <c r="C56" s="61" t="s">
        <v>35</v>
      </c>
    </row>
    <row r="57" spans="1:2" ht="17.25">
      <c r="A57" s="63"/>
      <c r="B57" s="63"/>
    </row>
    <row r="58" spans="1:2" ht="17.25">
      <c r="A58" s="63">
        <v>4568329</v>
      </c>
      <c r="B58" s="64">
        <v>1360852.79</v>
      </c>
    </row>
  </sheetData>
  <sheetProtection/>
  <mergeCells count="10">
    <mergeCell ref="L1:M1"/>
    <mergeCell ref="B1:F1"/>
    <mergeCell ref="N4:O4"/>
    <mergeCell ref="B4:C4"/>
    <mergeCell ref="D4:E4"/>
    <mergeCell ref="F4:G4"/>
    <mergeCell ref="H4:I4"/>
    <mergeCell ref="B2:D2"/>
    <mergeCell ref="J4:K4"/>
    <mergeCell ref="L4:M4"/>
  </mergeCells>
  <printOptions/>
  <pageMargins left="0.66" right="0.52" top="0.9" bottom="0.25" header="0.3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Cipolletti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Municipal</dc:creator>
  <cp:keywords/>
  <dc:description/>
  <cp:lastModifiedBy>contaduria-219</cp:lastModifiedBy>
  <cp:lastPrinted>2013-04-12T13:09:16Z</cp:lastPrinted>
  <dcterms:created xsi:type="dcterms:W3CDTF">2000-04-26T12:06:38Z</dcterms:created>
  <dcterms:modified xsi:type="dcterms:W3CDTF">2013-04-29T15:06:02Z</dcterms:modified>
  <cp:category/>
  <cp:version/>
  <cp:contentType/>
  <cp:contentStatus/>
</cp:coreProperties>
</file>