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1745" windowHeight="6690" tabRatio="603" activeTab="11"/>
  </bookViews>
  <sheets>
    <sheet name="INT" sheetId="1" r:id="rId1"/>
    <sheet name="GOB" sheetId="2" r:id="rId2"/>
    <sheet name="SEH" sheetId="3" r:id="rId3"/>
    <sheet name="SAS" sheetId="4" r:id="rId4"/>
    <sheet name="SOP" sheetId="5" r:id="rId5"/>
    <sheet name="SFOI" sheetId="6" r:id="rId6"/>
    <sheet name="CD" sheetId="7" r:id="rId7"/>
    <sheet name="CM" sheetId="8" r:id="rId8"/>
    <sheet name="SSP" sheetId="9" r:id="rId9"/>
    <sheet name="CULTURA" sheetId="10" r:id="rId10"/>
    <sheet name="DEPORTES" sheetId="11" r:id="rId11"/>
    <sheet name="GENERAL I" sheetId="12" r:id="rId12"/>
  </sheets>
  <definedNames/>
  <calcPr fullCalcOnLoad="1"/>
</workbook>
</file>

<file path=xl/sharedStrings.xml><?xml version="1.0" encoding="utf-8"?>
<sst xmlns="http://schemas.openxmlformats.org/spreadsheetml/2006/main" count="547" uniqueCount="132">
  <si>
    <t>AREA:</t>
  </si>
  <si>
    <t>PERSONAL</t>
  </si>
  <si>
    <t>CONSUMO</t>
  </si>
  <si>
    <t>SERVICIOS</t>
  </si>
  <si>
    <t>TRANS.CTES.</t>
  </si>
  <si>
    <t>TOTAL</t>
  </si>
  <si>
    <t>Dir.Hacienda</t>
  </si>
  <si>
    <t>Dir.Informática</t>
  </si>
  <si>
    <t>Dir.Suministros</t>
  </si>
  <si>
    <t>Tesorería</t>
  </si>
  <si>
    <t>Contaduría</t>
  </si>
  <si>
    <t>TOTALES</t>
  </si>
  <si>
    <t>Dir.Arquitectura</t>
  </si>
  <si>
    <t>Dir.Des.Urbano</t>
  </si>
  <si>
    <t>Secretaría</t>
  </si>
  <si>
    <t>Intendencia</t>
  </si>
  <si>
    <t>Sec.Gobierno</t>
  </si>
  <si>
    <t>Sec.Econ.y Hacienda</t>
  </si>
  <si>
    <t>Sec.Obras Públicas</t>
  </si>
  <si>
    <t>Sec.Servicios Públicos</t>
  </si>
  <si>
    <t>Sec.Acción Social</t>
  </si>
  <si>
    <t>Concejo Deliberante</t>
  </si>
  <si>
    <t>Contraloría Municipal</t>
  </si>
  <si>
    <t>ACUMULADO A:</t>
  </si>
  <si>
    <t>SALDO</t>
  </si>
  <si>
    <t>EJECUTADO</t>
  </si>
  <si>
    <t>PRESUPUESTO</t>
  </si>
  <si>
    <t>EJECUCION</t>
  </si>
  <si>
    <t>RUBRO</t>
  </si>
  <si>
    <t>TRAB.PUBL.</t>
  </si>
  <si>
    <t>% EJECUTADO</t>
  </si>
  <si>
    <t>crédito</t>
  </si>
  <si>
    <t>BS.CAP.+BS.PREEX.</t>
  </si>
  <si>
    <t>AMORTIZ.DEUDA</t>
  </si>
  <si>
    <t>TRANSF.CTES.</t>
  </si>
  <si>
    <t>AMORT.DDA.</t>
  </si>
  <si>
    <t>TRABAJOS PUBLICOS</t>
  </si>
  <si>
    <t>ejecución</t>
  </si>
  <si>
    <t>SDO. CTO.</t>
  </si>
  <si>
    <t>PPTO.</t>
  </si>
  <si>
    <t xml:space="preserve">Dir.Talleres </t>
  </si>
  <si>
    <t>EJECUCION PRESUPUESTARIA POR AREAS</t>
  </si>
  <si>
    <t>Datos al:</t>
  </si>
  <si>
    <t>AREA</t>
  </si>
  <si>
    <t xml:space="preserve">CREDITO </t>
  </si>
  <si>
    <t xml:space="preserve">% </t>
  </si>
  <si>
    <t xml:space="preserve">EJECUCION DEL GASTO (valores acumulados) </t>
  </si>
  <si>
    <t>POR  AREA</t>
  </si>
  <si>
    <t>ejecutado</t>
  </si>
  <si>
    <t>BS.CAP+PREEX.</t>
  </si>
  <si>
    <t>CTO.PTO.</t>
  </si>
  <si>
    <t>% ejecutado por rubros</t>
  </si>
  <si>
    <t>Referencias:</t>
  </si>
  <si>
    <t>sdo.cto.pto.</t>
  </si>
  <si>
    <t>amort.dda.</t>
  </si>
  <si>
    <t>trab.públ.</t>
  </si>
  <si>
    <t>bs.cap+preex.</t>
  </si>
  <si>
    <t>transf.ctes.</t>
  </si>
  <si>
    <t>servicios</t>
  </si>
  <si>
    <t>consumo</t>
  </si>
  <si>
    <t>personal</t>
  </si>
  <si>
    <t>trans.</t>
  </si>
  <si>
    <t>bs.cap+preex</t>
  </si>
  <si>
    <t>trab.publ</t>
  </si>
  <si>
    <t>sdo.cto.</t>
  </si>
  <si>
    <t>total</t>
  </si>
  <si>
    <t>INT</t>
  </si>
  <si>
    <t>GOB</t>
  </si>
  <si>
    <t>SEH</t>
  </si>
  <si>
    <t>SOP</t>
  </si>
  <si>
    <t>SSP</t>
  </si>
  <si>
    <t>SAS</t>
  </si>
  <si>
    <t>CD</t>
  </si>
  <si>
    <t>CM</t>
  </si>
  <si>
    <t>Dir.Admin.y Técnica</t>
  </si>
  <si>
    <t>Dir.Administrativa</t>
  </si>
  <si>
    <t>Dir.Desarrollo Social</t>
  </si>
  <si>
    <t>Dir.Com.Institucional</t>
  </si>
  <si>
    <t>Dir.Protección Civil</t>
  </si>
  <si>
    <t>Dir.Planeam.</t>
  </si>
  <si>
    <t>Dir.Obr.Infraest.</t>
  </si>
  <si>
    <t>BS.CAP+BS.PREEX.</t>
  </si>
  <si>
    <t>Dir.Prom.Comunitaria</t>
  </si>
  <si>
    <t>Dir.Gral.Adm.L.yT.</t>
  </si>
  <si>
    <t>Dir.Asunt.Cont.yDict.</t>
  </si>
  <si>
    <t xml:space="preserve"> </t>
  </si>
  <si>
    <t>Sec.Fisc.y Org.Interna</t>
  </si>
  <si>
    <t xml:space="preserve">                 TRAB.PUBLICOS</t>
  </si>
  <si>
    <t>Dir.Rec.Humanos</t>
  </si>
  <si>
    <t>Dir.Comerc.y Bromat.</t>
  </si>
  <si>
    <t>Dir.Tráns.y Transp.</t>
  </si>
  <si>
    <t>Privada</t>
  </si>
  <si>
    <t xml:space="preserve">                    TRANSF. CTES.</t>
  </si>
  <si>
    <t>CULT.</t>
  </si>
  <si>
    <t>DEP.</t>
  </si>
  <si>
    <t>TRAB.PUBLICOS</t>
  </si>
  <si>
    <t>Presidencia</t>
  </si>
  <si>
    <t>SFOI</t>
  </si>
  <si>
    <t>Unid.Des.Económico</t>
  </si>
  <si>
    <t>Asesoria en Seg.</t>
  </si>
  <si>
    <t>TRAB. PÚBLICOS</t>
  </si>
  <si>
    <t>Dir.Recaudaciones</t>
  </si>
  <si>
    <t>TRAB. PUBLICOS</t>
  </si>
  <si>
    <t>INTENDENCIA  MUNICIPAL</t>
  </si>
  <si>
    <t>SECRETARIA DE  GOBIERNO</t>
  </si>
  <si>
    <t>Juzgado de Faltas</t>
  </si>
  <si>
    <t>SECRETARIA DE ACCIÓN  SOCIAL</t>
  </si>
  <si>
    <t>Dir. Tercera Edad</t>
  </si>
  <si>
    <t>SECRETARIA DE OBRAS  PÚBLICAS</t>
  </si>
  <si>
    <t>SECRETARIA DE FISCALIZACIÓN Y  ORGANIZACIÓN  INTERNA</t>
  </si>
  <si>
    <t>CONCEJO  DELIBERANTE</t>
  </si>
  <si>
    <t>CONTRALORIA  MUNICIPAL</t>
  </si>
  <si>
    <t>SECRETARIA DE SERVICIOS  PÚBLICOS</t>
  </si>
  <si>
    <t>Dir.Scios.Grales.</t>
  </si>
  <si>
    <t>Dpto.San.Higiene</t>
  </si>
  <si>
    <t>Dpto. Talleres</t>
  </si>
  <si>
    <t>Dpto.Riego</t>
  </si>
  <si>
    <t>DIRECCIÓN   GENERAL  DE  CULTURA</t>
  </si>
  <si>
    <t>DIRECCIÓN   GENERAL  DE  DEPORTES</t>
  </si>
  <si>
    <t>Dir.Gral. de Cultura</t>
  </si>
  <si>
    <t>Dir.Gral. de Deportes</t>
  </si>
  <si>
    <t>Dir. Desarrollo Social</t>
  </si>
  <si>
    <t>Dirección</t>
  </si>
  <si>
    <t>Coord.Téc.Act.Fisicas y Rec.</t>
  </si>
  <si>
    <t>Coord.Téc.Deport.y Eventos</t>
  </si>
  <si>
    <t>SECRETARIA DE  ECONOMÍA Y  HACIENDA</t>
  </si>
  <si>
    <t>Unidad Margen Sur</t>
  </si>
  <si>
    <t>Dir.Parque Industrial</t>
  </si>
  <si>
    <t>Area Juntas Vecinales</t>
  </si>
  <si>
    <t>Deleg.Mpal.Las Perlas</t>
  </si>
  <si>
    <t>Dir.Proy.Urbanisticos</t>
  </si>
  <si>
    <t>Bloque Frente p/la Victoria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</si>
</sst>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000000"/>
    <numFmt numFmtId="175" formatCode="0.00000000"/>
    <numFmt numFmtId="176" formatCode="#,##0.000"/>
    <numFmt numFmtId="177" formatCode="#,##0.0000"/>
    <numFmt numFmtId="178" formatCode="#,##0.00000"/>
    <numFmt numFmtId="179" formatCode="0.0000%"/>
    <numFmt numFmtId="180" formatCode="0.000%"/>
    <numFmt numFmtId="181" formatCode="0.0%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_);\(0\)"/>
    <numFmt numFmtId="188" formatCode="&quot;$&quot;\ #,##0"/>
    <numFmt numFmtId="189" formatCode="0.00000%"/>
    <numFmt numFmtId="190" formatCode="0.000000%"/>
  </numFmts>
  <fonts count="99">
    <font>
      <sz val="11"/>
      <name val="Garamond"/>
      <family val="0"/>
    </font>
    <font>
      <sz val="8"/>
      <name val="Garamond"/>
      <family val="0"/>
    </font>
    <font>
      <b/>
      <sz val="9"/>
      <name val="Trebuchet MS"/>
      <family val="2"/>
    </font>
    <font>
      <b/>
      <sz val="8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1"/>
      <color indexed="9"/>
      <name val="Trebuchet MS"/>
      <family val="2"/>
    </font>
    <font>
      <sz val="11"/>
      <color indexed="21"/>
      <name val="Trebuchet MS"/>
      <family val="2"/>
    </font>
    <font>
      <sz val="11"/>
      <color indexed="10"/>
      <name val="Trebuchet MS"/>
      <family val="2"/>
    </font>
    <font>
      <b/>
      <sz val="11"/>
      <color indexed="10"/>
      <name val="Trebuchet MS"/>
      <family val="2"/>
    </font>
    <font>
      <b/>
      <sz val="11"/>
      <color indexed="2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sz val="11"/>
      <color indexed="44"/>
      <name val="Trebuchet MS"/>
      <family val="2"/>
    </font>
    <font>
      <sz val="6"/>
      <name val="Trebuchet MS"/>
      <family val="2"/>
    </font>
    <font>
      <sz val="11"/>
      <color indexed="9"/>
      <name val="Trebuchet MS"/>
      <family val="2"/>
    </font>
    <font>
      <sz val="11"/>
      <color indexed="12"/>
      <name val="Trebuchet MS"/>
      <family val="2"/>
    </font>
    <font>
      <b/>
      <sz val="11"/>
      <color indexed="12"/>
      <name val="Trebuchet MS"/>
      <family val="2"/>
    </font>
    <font>
      <b/>
      <sz val="11"/>
      <name val="Trebuchet MS"/>
      <family val="2"/>
    </font>
    <font>
      <b/>
      <i/>
      <sz val="11"/>
      <color indexed="5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12"/>
      <color indexed="56"/>
      <name val="Trebuchet MS"/>
      <family val="2"/>
    </font>
    <font>
      <b/>
      <sz val="11"/>
      <color indexed="20"/>
      <name val="Trebuchet MS"/>
      <family val="2"/>
    </font>
    <font>
      <b/>
      <sz val="11"/>
      <color indexed="30"/>
      <name val="Trebuchet MS"/>
      <family val="2"/>
    </font>
    <font>
      <b/>
      <i/>
      <sz val="12"/>
      <color indexed="18"/>
      <name val="Trebuchet MS"/>
      <family val="2"/>
    </font>
    <font>
      <b/>
      <sz val="12"/>
      <color indexed="18"/>
      <name val="Garamond"/>
      <family val="1"/>
    </font>
    <font>
      <sz val="12"/>
      <color indexed="18"/>
      <name val="Garamond"/>
      <family val="1"/>
    </font>
    <font>
      <sz val="11"/>
      <color indexed="18"/>
      <name val="Garamond"/>
      <family val="1"/>
    </font>
    <font>
      <b/>
      <sz val="10.5"/>
      <name val="Garamond"/>
      <family val="1"/>
    </font>
    <font>
      <b/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0.5"/>
      <color indexed="8"/>
      <name val="Garamond"/>
      <family val="0"/>
    </font>
    <font>
      <b/>
      <sz val="4.5"/>
      <color indexed="8"/>
      <name val="Trebuchet MS"/>
      <family val="0"/>
    </font>
    <font>
      <b/>
      <sz val="6"/>
      <color indexed="8"/>
      <name val="Trebuchet MS"/>
      <family val="0"/>
    </font>
    <font>
      <b/>
      <i/>
      <u val="single"/>
      <sz val="11.5"/>
      <color indexed="8"/>
      <name val="Trebuchet MS"/>
      <family val="0"/>
    </font>
    <font>
      <b/>
      <i/>
      <sz val="7.35"/>
      <color indexed="8"/>
      <name val="Trebuchet MS"/>
      <family val="0"/>
    </font>
    <font>
      <sz val="19"/>
      <color indexed="8"/>
      <name val="Garamond"/>
      <family val="0"/>
    </font>
    <font>
      <b/>
      <sz val="3.75"/>
      <color indexed="8"/>
      <name val="Trebuchet MS"/>
      <family val="0"/>
    </font>
    <font>
      <b/>
      <sz val="5"/>
      <color indexed="8"/>
      <name val="Trebuchet MS"/>
      <family val="0"/>
    </font>
    <font>
      <b/>
      <i/>
      <u val="single"/>
      <sz val="10.5"/>
      <color indexed="8"/>
      <name val="Trebuchet MS"/>
      <family val="0"/>
    </font>
    <font>
      <b/>
      <i/>
      <sz val="8.25"/>
      <color indexed="8"/>
      <name val="Trebuchet MS"/>
      <family val="0"/>
    </font>
    <font>
      <sz val="18.25"/>
      <color indexed="8"/>
      <name val="Garamond"/>
      <family val="0"/>
    </font>
    <font>
      <b/>
      <sz val="4.25"/>
      <color indexed="8"/>
      <name val="Trebuchet MS"/>
      <family val="0"/>
    </font>
    <font>
      <b/>
      <sz val="6.25"/>
      <color indexed="8"/>
      <name val="Trebuchet MS"/>
      <family val="0"/>
    </font>
    <font>
      <b/>
      <i/>
      <u val="single"/>
      <sz val="11"/>
      <color indexed="8"/>
      <name val="Trebuchet MS"/>
      <family val="0"/>
    </font>
    <font>
      <sz val="20.75"/>
      <color indexed="8"/>
      <name val="Garamond"/>
      <family val="0"/>
    </font>
    <font>
      <b/>
      <sz val="6.5"/>
      <color indexed="8"/>
      <name val="Trebuchet MS"/>
      <family val="0"/>
    </font>
    <font>
      <b/>
      <i/>
      <u val="single"/>
      <sz val="11.75"/>
      <color indexed="8"/>
      <name val="Trebuchet MS"/>
      <family val="0"/>
    </font>
    <font>
      <sz val="19.25"/>
      <color indexed="8"/>
      <name val="Garamond"/>
      <family val="0"/>
    </font>
    <font>
      <b/>
      <sz val="5.25"/>
      <color indexed="8"/>
      <name val="Trebuchet MS"/>
      <family val="0"/>
    </font>
    <font>
      <b/>
      <i/>
      <u val="single"/>
      <sz val="10.25"/>
      <color indexed="8"/>
      <name val="Trebuchet MS"/>
      <family val="0"/>
    </font>
    <font>
      <sz val="18.75"/>
      <color indexed="8"/>
      <name val="Garamond"/>
      <family val="0"/>
    </font>
    <font>
      <sz val="19.5"/>
      <color indexed="8"/>
      <name val="Garamond"/>
      <family val="0"/>
    </font>
    <font>
      <b/>
      <sz val="5.5"/>
      <color indexed="8"/>
      <name val="Trebuchet MS"/>
      <family val="0"/>
    </font>
    <font>
      <b/>
      <i/>
      <u val="single"/>
      <sz val="9.75"/>
      <color indexed="8"/>
      <name val="Trebuchet MS"/>
      <family val="0"/>
    </font>
    <font>
      <sz val="21.5"/>
      <color indexed="8"/>
      <name val="Garamond"/>
      <family val="0"/>
    </font>
    <font>
      <b/>
      <sz val="4.75"/>
      <color indexed="8"/>
      <name val="Trebuchet MS"/>
      <family val="0"/>
    </font>
    <font>
      <b/>
      <sz val="5.75"/>
      <color indexed="8"/>
      <name val="Trebuchet MS"/>
      <family val="0"/>
    </font>
    <font>
      <sz val="21.75"/>
      <color indexed="8"/>
      <name val="Garamond"/>
      <family val="0"/>
    </font>
    <font>
      <b/>
      <i/>
      <u val="single"/>
      <sz val="11.25"/>
      <color indexed="8"/>
      <name val="Trebuchet MS"/>
      <family val="0"/>
    </font>
    <font>
      <sz val="21"/>
      <color indexed="8"/>
      <name val="Garamond"/>
      <family val="0"/>
    </font>
    <font>
      <b/>
      <i/>
      <sz val="8"/>
      <color indexed="8"/>
      <name val="Trebuchet MS"/>
      <family val="0"/>
    </font>
    <font>
      <b/>
      <sz val="8"/>
      <color indexed="8"/>
      <name val="Trebuchet MS"/>
      <family val="0"/>
    </font>
    <font>
      <b/>
      <u val="single"/>
      <sz val="11"/>
      <color indexed="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 style="thin"/>
      <bottom style="double"/>
    </border>
    <border>
      <left style="hair"/>
      <right style="hair"/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double"/>
      <right style="hair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 style="slantDashDot"/>
      <right style="dotted"/>
      <top style="slantDashDot"/>
      <bottom>
        <color indexed="63"/>
      </bottom>
    </border>
    <border>
      <left style="dotted"/>
      <right style="slantDashDot"/>
      <top style="slantDashDot"/>
      <bottom>
        <color indexed="63"/>
      </bottom>
    </border>
    <border>
      <left style="slantDashDot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slantDashDot"/>
      <top>
        <color indexed="63"/>
      </top>
      <bottom style="thin"/>
    </border>
    <border>
      <left style="slantDashDot"/>
      <right style="slantDashDot"/>
      <top>
        <color indexed="63"/>
      </top>
      <bottom style="thin"/>
    </border>
    <border>
      <left style="slantDashDot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slantDashDot"/>
      <top>
        <color indexed="63"/>
      </top>
      <bottom>
        <color indexed="63"/>
      </bottom>
    </border>
    <border>
      <left style="slantDashDot"/>
      <right style="dotted"/>
      <top style="thin"/>
      <bottom style="slantDashDot"/>
    </border>
    <border>
      <left>
        <color indexed="63"/>
      </left>
      <right style="dotted"/>
      <top style="thin"/>
      <bottom style="slantDashDot"/>
    </border>
    <border>
      <left style="dotted"/>
      <right style="dotted"/>
      <top style="thin"/>
      <bottom style="slantDashDot"/>
    </border>
    <border>
      <left style="dotted"/>
      <right style="slantDashDot"/>
      <top style="thin"/>
      <bottom style="slantDashDot"/>
    </border>
    <border>
      <left style="slantDashDot"/>
      <right style="dotted"/>
      <top style="slantDashDot"/>
      <bottom style="slantDashDot"/>
    </border>
    <border>
      <left>
        <color indexed="63"/>
      </left>
      <right style="dotted"/>
      <top style="slantDashDot"/>
      <bottom style="slantDashDot"/>
    </border>
    <border>
      <left style="dotted"/>
      <right style="dotted"/>
      <top style="slantDashDot"/>
      <bottom style="slantDashDot"/>
    </border>
    <border>
      <left style="dotted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tted"/>
      <right>
        <color indexed="63"/>
      </right>
      <top style="thin"/>
      <bottom style="slantDashDot"/>
    </border>
    <border>
      <left style="dotted"/>
      <right>
        <color indexed="63"/>
      </right>
      <top>
        <color indexed="63"/>
      </top>
      <bottom style="slantDashDot"/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 style="dotted"/>
      <top style="double"/>
      <bottom>
        <color indexed="63"/>
      </bottom>
    </border>
    <border>
      <left style="dotted"/>
      <right>
        <color indexed="63"/>
      </right>
      <top style="double"/>
      <bottom>
        <color indexed="63"/>
      </bottom>
    </border>
    <border>
      <left>
        <color indexed="63"/>
      </left>
      <right style="dotted"/>
      <top style="double"/>
      <bottom>
        <color indexed="63"/>
      </bottom>
    </border>
    <border>
      <left style="dotted"/>
      <right style="double"/>
      <top style="double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>
        <color indexed="63"/>
      </top>
      <bottom>
        <color indexed="63"/>
      </bottom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thin"/>
      <bottom style="double"/>
    </border>
    <border>
      <left>
        <color indexed="63"/>
      </left>
      <right style="dotted"/>
      <top>
        <color indexed="63"/>
      </top>
      <bottom style="double"/>
    </border>
    <border>
      <left style="dotted"/>
      <right style="dotted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otted"/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tted"/>
      <top style="thin"/>
      <bottom style="double"/>
    </border>
    <border>
      <left style="double"/>
      <right style="dotted"/>
      <top>
        <color indexed="63"/>
      </top>
      <bottom style="double"/>
    </border>
    <border>
      <left style="dotted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dotted"/>
      <right style="slantDashDot"/>
      <top style="slantDashDot"/>
      <bottom style="slantDashDot"/>
    </border>
    <border>
      <left style="dotted"/>
      <right style="dotted"/>
      <top style="double"/>
      <bottom style="double"/>
    </border>
    <border>
      <left style="dotted"/>
      <right>
        <color indexed="63"/>
      </right>
      <top style="double"/>
      <bottom style="double"/>
    </border>
    <border>
      <left style="dotted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 style="slantDashDot"/>
    </border>
    <border>
      <left style="slantDashDot"/>
      <right style="slantDashDot"/>
      <top style="thin"/>
      <bottom style="slantDashDot"/>
    </border>
    <border>
      <left style="hair"/>
      <right style="hair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thin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dotted"/>
      <right>
        <color indexed="63"/>
      </right>
      <top style="slantDashDot"/>
      <bottom>
        <color indexed="63"/>
      </bottom>
    </border>
    <border>
      <left>
        <color indexed="63"/>
      </left>
      <right style="dotted"/>
      <top style="slantDashDot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8" fillId="0" borderId="0" applyNumberFormat="0" applyFill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9" fillId="29" borderId="1" applyNumberFormat="0" applyAlignment="0" applyProtection="0"/>
    <xf numFmtId="0" fontId="9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2" fillId="21" borderId="5" applyNumberFormat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88" fillId="0" borderId="8" applyNumberFormat="0" applyFill="0" applyAlignment="0" applyProtection="0"/>
    <xf numFmtId="0" fontId="98" fillId="0" borderId="9" applyNumberFormat="0" applyFill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4" fillId="0" borderId="0" xfId="0" applyNumberFormat="1" applyFont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9" fontId="4" fillId="0" borderId="0" xfId="0" applyNumberFormat="1" applyFont="1" applyAlignment="1">
      <alignment/>
    </xf>
    <xf numFmtId="4" fontId="2" fillId="0" borderId="17" xfId="0" applyNumberFormat="1" applyFont="1" applyBorder="1" applyAlignment="1">
      <alignment/>
    </xf>
    <xf numFmtId="10" fontId="2" fillId="0" borderId="17" xfId="0" applyNumberFormat="1" applyFont="1" applyBorder="1" applyAlignment="1">
      <alignment/>
    </xf>
    <xf numFmtId="10" fontId="2" fillId="0" borderId="18" xfId="0" applyNumberFormat="1" applyFont="1" applyBorder="1" applyAlignment="1">
      <alignment/>
    </xf>
    <xf numFmtId="10" fontId="2" fillId="0" borderId="19" xfId="0" applyNumberFormat="1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4" fontId="2" fillId="0" borderId="22" xfId="0" applyNumberFormat="1" applyFont="1" applyBorder="1" applyAlignment="1">
      <alignment/>
    </xf>
    <xf numFmtId="17" fontId="8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7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3" fontId="11" fillId="0" borderId="30" xfId="0" applyNumberFormat="1" applyFont="1" applyBorder="1" applyAlignment="1">
      <alignment/>
    </xf>
    <xf numFmtId="4" fontId="12" fillId="0" borderId="31" xfId="0" applyNumberFormat="1" applyFont="1" applyBorder="1" applyAlignment="1">
      <alignment/>
    </xf>
    <xf numFmtId="4" fontId="12" fillId="0" borderId="32" xfId="0" applyNumberFormat="1" applyFont="1" applyBorder="1" applyAlignment="1">
      <alignment/>
    </xf>
    <xf numFmtId="0" fontId="11" fillId="0" borderId="30" xfId="0" applyFont="1" applyBorder="1" applyAlignment="1">
      <alignment/>
    </xf>
    <xf numFmtId="4" fontId="4" fillId="0" borderId="31" xfId="0" applyNumberFormat="1" applyFont="1" applyBorder="1" applyAlignment="1">
      <alignment/>
    </xf>
    <xf numFmtId="4" fontId="12" fillId="0" borderId="30" xfId="0" applyNumberFormat="1" applyFont="1" applyBorder="1" applyAlignment="1">
      <alignment/>
    </xf>
    <xf numFmtId="0" fontId="3" fillId="0" borderId="33" xfId="0" applyFont="1" applyBorder="1" applyAlignment="1">
      <alignment/>
    </xf>
    <xf numFmtId="3" fontId="2" fillId="0" borderId="34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4" fontId="12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9" fontId="4" fillId="0" borderId="39" xfId="52" applyFont="1" applyBorder="1" applyAlignment="1">
      <alignment/>
    </xf>
    <xf numFmtId="9" fontId="4" fillId="0" borderId="39" xfId="52" applyNumberFormat="1" applyFont="1" applyBorder="1" applyAlignment="1">
      <alignment/>
    </xf>
    <xf numFmtId="9" fontId="4" fillId="0" borderId="40" xfId="52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9" fontId="4" fillId="0" borderId="0" xfId="52" applyFont="1" applyBorder="1" applyAlignment="1">
      <alignment/>
    </xf>
    <xf numFmtId="4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171" fontId="12" fillId="0" borderId="0" xfId="46" applyFont="1" applyAlignment="1">
      <alignment/>
    </xf>
    <xf numFmtId="17" fontId="10" fillId="0" borderId="0" xfId="0" applyNumberFormat="1" applyFont="1" applyAlignment="1">
      <alignment/>
    </xf>
    <xf numFmtId="3" fontId="12" fillId="0" borderId="3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6" fillId="0" borderId="0" xfId="0" applyFont="1" applyFill="1" applyAlignment="1">
      <alignment/>
    </xf>
    <xf numFmtId="3" fontId="11" fillId="0" borderId="3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3" fillId="0" borderId="0" xfId="0" applyNumberFormat="1" applyFont="1" applyAlignment="1">
      <alignment/>
    </xf>
    <xf numFmtId="0" fontId="17" fillId="0" borderId="0" xfId="0" applyFont="1" applyAlignment="1">
      <alignment/>
    </xf>
    <xf numFmtId="17" fontId="1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0" fontId="2" fillId="0" borderId="41" xfId="0" applyFont="1" applyBorder="1" applyAlignment="1">
      <alignment horizontal="center"/>
    </xf>
    <xf numFmtId="3" fontId="12" fillId="0" borderId="31" xfId="0" applyNumberFormat="1" applyFont="1" applyBorder="1" applyAlignment="1">
      <alignment/>
    </xf>
    <xf numFmtId="3" fontId="2" fillId="0" borderId="34" xfId="46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1" fillId="0" borderId="30" xfId="0" applyNumberFormat="1" applyFont="1" applyFill="1" applyBorder="1" applyAlignment="1">
      <alignment/>
    </xf>
    <xf numFmtId="4" fontId="12" fillId="0" borderId="31" xfId="0" applyNumberFormat="1" applyFont="1" applyFill="1" applyBorder="1" applyAlignment="1">
      <alignment/>
    </xf>
    <xf numFmtId="3" fontId="12" fillId="0" borderId="30" xfId="0" applyNumberFormat="1" applyFont="1" applyFill="1" applyBorder="1" applyAlignment="1">
      <alignment/>
    </xf>
    <xf numFmtId="4" fontId="12" fillId="0" borderId="30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4" fontId="11" fillId="0" borderId="32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2" fillId="0" borderId="29" xfId="0" applyFont="1" applyBorder="1" applyAlignment="1">
      <alignment/>
    </xf>
    <xf numFmtId="4" fontId="12" fillId="0" borderId="42" xfId="0" applyNumberFormat="1" applyFont="1" applyBorder="1" applyAlignment="1">
      <alignment/>
    </xf>
    <xf numFmtId="0" fontId="3" fillId="0" borderId="34" xfId="0" applyFont="1" applyBorder="1" applyAlignment="1">
      <alignment/>
    </xf>
    <xf numFmtId="9" fontId="4" fillId="0" borderId="35" xfId="52" applyFont="1" applyBorder="1" applyAlignment="1">
      <alignment/>
    </xf>
    <xf numFmtId="9" fontId="4" fillId="0" borderId="43" xfId="52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0" fontId="4" fillId="0" borderId="35" xfId="52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3" fontId="3" fillId="0" borderId="34" xfId="0" applyNumberFormat="1" applyFont="1" applyBorder="1" applyAlignment="1">
      <alignment/>
    </xf>
    <xf numFmtId="3" fontId="11" fillId="0" borderId="31" xfId="0" applyNumberFormat="1" applyFont="1" applyFill="1" applyBorder="1" applyAlignment="1">
      <alignment/>
    </xf>
    <xf numFmtId="4" fontId="12" fillId="0" borderId="44" xfId="0" applyNumberFormat="1" applyFont="1" applyBorder="1" applyAlignment="1">
      <alignment/>
    </xf>
    <xf numFmtId="10" fontId="12" fillId="0" borderId="44" xfId="0" applyNumberFormat="1" applyFont="1" applyBorder="1" applyAlignment="1">
      <alignment/>
    </xf>
    <xf numFmtId="4" fontId="12" fillId="0" borderId="45" xfId="0" applyNumberFormat="1" applyFont="1" applyBorder="1" applyAlignment="1">
      <alignment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4" fillId="0" borderId="50" xfId="0" applyFont="1" applyBorder="1" applyAlignment="1">
      <alignment/>
    </xf>
    <xf numFmtId="0" fontId="11" fillId="0" borderId="51" xfId="0" applyFont="1" applyBorder="1" applyAlignment="1">
      <alignment/>
    </xf>
    <xf numFmtId="4" fontId="12" fillId="0" borderId="52" xfId="0" applyNumberFormat="1" applyFont="1" applyBorder="1" applyAlignment="1">
      <alignment/>
    </xf>
    <xf numFmtId="4" fontId="12" fillId="0" borderId="53" xfId="0" applyNumberFormat="1" applyFont="1" applyBorder="1" applyAlignment="1">
      <alignment/>
    </xf>
    <xf numFmtId="0" fontId="3" fillId="0" borderId="54" xfId="0" applyFont="1" applyBorder="1" applyAlignment="1">
      <alignment/>
    </xf>
    <xf numFmtId="9" fontId="4" fillId="0" borderId="55" xfId="52" applyFont="1" applyBorder="1" applyAlignment="1">
      <alignment/>
    </xf>
    <xf numFmtId="9" fontId="4" fillId="0" borderId="56" xfId="52" applyFont="1" applyBorder="1" applyAlignment="1">
      <alignment/>
    </xf>
    <xf numFmtId="3" fontId="2" fillId="0" borderId="57" xfId="0" applyNumberFormat="1" applyFont="1" applyBorder="1" applyAlignment="1">
      <alignment/>
    </xf>
    <xf numFmtId="4" fontId="12" fillId="0" borderId="58" xfId="0" applyNumberFormat="1" applyFont="1" applyBorder="1" applyAlignment="1">
      <alignment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17" fontId="20" fillId="0" borderId="0" xfId="0" applyNumberFormat="1" applyFont="1" applyFill="1" applyAlignment="1">
      <alignment horizontal="center"/>
    </xf>
    <xf numFmtId="17" fontId="21" fillId="0" borderId="0" xfId="0" applyNumberFormat="1" applyFont="1" applyAlignment="1">
      <alignment/>
    </xf>
    <xf numFmtId="0" fontId="2" fillId="0" borderId="63" xfId="0" applyFont="1" applyBorder="1" applyAlignment="1">
      <alignment horizontal="center"/>
    </xf>
    <xf numFmtId="17" fontId="20" fillId="0" borderId="0" xfId="0" applyNumberFormat="1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5" fillId="38" borderId="0" xfId="0" applyFont="1" applyFill="1" applyAlignment="1">
      <alignment horizontal="center"/>
    </xf>
    <xf numFmtId="0" fontId="5" fillId="39" borderId="0" xfId="0" applyFont="1" applyFill="1" applyAlignment="1">
      <alignment horizontal="center"/>
    </xf>
    <xf numFmtId="4" fontId="12" fillId="0" borderId="64" xfId="0" applyNumberFormat="1" applyFont="1" applyBorder="1" applyAlignment="1">
      <alignment/>
    </xf>
    <xf numFmtId="4" fontId="12" fillId="0" borderId="65" xfId="0" applyNumberFormat="1" applyFont="1" applyBorder="1" applyAlignment="1">
      <alignment/>
    </xf>
    <xf numFmtId="4" fontId="12" fillId="0" borderId="66" xfId="0" applyNumberFormat="1" applyFont="1" applyBorder="1" applyAlignment="1">
      <alignment/>
    </xf>
    <xf numFmtId="10" fontId="4" fillId="0" borderId="39" xfId="52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10" fontId="4" fillId="0" borderId="67" xfId="52" applyNumberFormat="1" applyFont="1" applyBorder="1" applyAlignment="1">
      <alignment/>
    </xf>
    <xf numFmtId="9" fontId="4" fillId="0" borderId="68" xfId="52" applyFont="1" applyBorder="1" applyAlignment="1">
      <alignment/>
    </xf>
    <xf numFmtId="10" fontId="4" fillId="0" borderId="55" xfId="52" applyNumberFormat="1" applyFont="1" applyBorder="1" applyAlignment="1">
      <alignment/>
    </xf>
    <xf numFmtId="10" fontId="4" fillId="0" borderId="69" xfId="52" applyNumberFormat="1" applyFont="1" applyBorder="1" applyAlignment="1">
      <alignment/>
    </xf>
    <xf numFmtId="10" fontId="4" fillId="0" borderId="70" xfId="52" applyNumberFormat="1" applyFont="1" applyBorder="1" applyAlignment="1">
      <alignment/>
    </xf>
    <xf numFmtId="0" fontId="2" fillId="0" borderId="0" xfId="0" applyFont="1" applyAlignment="1">
      <alignment horizontal="right"/>
    </xf>
    <xf numFmtId="10" fontId="4" fillId="0" borderId="40" xfId="52" applyNumberFormat="1" applyFont="1" applyBorder="1" applyAlignment="1">
      <alignment/>
    </xf>
    <xf numFmtId="9" fontId="4" fillId="0" borderId="67" xfId="52" applyNumberFormat="1" applyFont="1" applyBorder="1" applyAlignment="1">
      <alignment/>
    </xf>
    <xf numFmtId="10" fontId="4" fillId="0" borderId="43" xfId="52" applyNumberFormat="1" applyFont="1" applyBorder="1" applyAlignment="1">
      <alignment/>
    </xf>
    <xf numFmtId="10" fontId="4" fillId="0" borderId="71" xfId="52" applyNumberFormat="1" applyFont="1" applyBorder="1" applyAlignment="1">
      <alignment/>
    </xf>
    <xf numFmtId="17" fontId="26" fillId="0" borderId="0" xfId="0" applyNumberFormat="1" applyFont="1" applyFill="1" applyAlignment="1">
      <alignment horizontal="center"/>
    </xf>
    <xf numFmtId="0" fontId="5" fillId="40" borderId="0" xfId="0" applyFont="1" applyFill="1" applyAlignment="1">
      <alignment horizontal="center"/>
    </xf>
    <xf numFmtId="4" fontId="12" fillId="0" borderId="72" xfId="0" applyNumberFormat="1" applyFont="1" applyBorder="1" applyAlignment="1">
      <alignment/>
    </xf>
    <xf numFmtId="0" fontId="2" fillId="41" borderId="73" xfId="0" applyFont="1" applyFill="1" applyBorder="1" applyAlignment="1">
      <alignment horizontal="center"/>
    </xf>
    <xf numFmtId="0" fontId="2" fillId="41" borderId="12" xfId="0" applyFont="1" applyFill="1" applyBorder="1" applyAlignment="1">
      <alignment horizontal="center"/>
    </xf>
    <xf numFmtId="0" fontId="2" fillId="41" borderId="74" xfId="0" applyFont="1" applyFill="1" applyBorder="1" applyAlignment="1">
      <alignment horizontal="center"/>
    </xf>
    <xf numFmtId="0" fontId="2" fillId="41" borderId="75" xfId="0" applyFont="1" applyFill="1" applyBorder="1" applyAlignment="1">
      <alignment horizontal="center"/>
    </xf>
    <xf numFmtId="0" fontId="30" fillId="42" borderId="76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9" fontId="4" fillId="0" borderId="40" xfId="52" applyNumberFormat="1" applyFont="1" applyBorder="1" applyAlignment="1">
      <alignment/>
    </xf>
    <xf numFmtId="9" fontId="4" fillId="0" borderId="69" xfId="52" applyNumberFormat="1" applyFont="1" applyBorder="1" applyAlignment="1">
      <alignment/>
    </xf>
    <xf numFmtId="9" fontId="4" fillId="0" borderId="35" xfId="52" applyNumberFormat="1" applyFont="1" applyBorder="1" applyAlignment="1">
      <alignment/>
    </xf>
    <xf numFmtId="0" fontId="31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7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4" fillId="0" borderId="0" xfId="0" applyFont="1" applyFill="1" applyAlignment="1">
      <alignment horizontal="center" wrapText="1"/>
    </xf>
    <xf numFmtId="0" fontId="2" fillId="0" borderId="78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43" borderId="80" xfId="0" applyFont="1" applyFill="1" applyBorder="1" applyAlignment="1">
      <alignment horizontal="center"/>
    </xf>
    <xf numFmtId="0" fontId="2" fillId="43" borderId="81" xfId="0" applyFont="1" applyFill="1" applyBorder="1" applyAlignment="1">
      <alignment horizontal="center"/>
    </xf>
    <xf numFmtId="0" fontId="2" fillId="43" borderId="82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3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95"/>
          <c:w val="0.994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INT!$A$46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303049"/>
                </a:gs>
                <a:gs pos="50000">
                  <a:srgbClr val="666699"/>
                </a:gs>
                <a:gs pos="100000">
                  <a:srgbClr val="303049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INT!$A$47:$A$53</c:f>
              <c:numCache/>
            </c:numRef>
          </c:val>
        </c:ser>
        <c:ser>
          <c:idx val="1"/>
          <c:order val="1"/>
          <c:tx>
            <c:strRef>
              <c:f>INT!$B$46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82A2A2"/>
                </a:gs>
                <a:gs pos="50000">
                  <a:srgbClr val="CCFFFF"/>
                </a:gs>
                <a:gs pos="100000">
                  <a:srgbClr val="82A2A2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INT!$C$47:$C$53</c:f>
              <c:strCache/>
            </c:strRef>
          </c:cat>
          <c:val>
            <c:numRef>
              <c:f>INT!$B$47:$B$53</c:f>
              <c:numCache/>
            </c:numRef>
          </c:val>
        </c:ser>
        <c:axId val="51474332"/>
        <c:axId val="60615805"/>
      </c:barChart>
      <c:catAx>
        <c:axId val="5147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60615805"/>
        <c:crosses val="autoZero"/>
        <c:auto val="1"/>
        <c:lblOffset val="100"/>
        <c:tickLblSkip val="1"/>
        <c:noMultiLvlLbl val="0"/>
      </c:catAx>
      <c:valAx>
        <c:axId val="60615805"/>
        <c:scaling>
          <c:orientation val="minMax"/>
          <c:max val="37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147433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6"/>
          <c:y val="0.9395"/>
          <c:w val="0.494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6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6125"/>
          <c:w val="0.98125"/>
          <c:h val="0.8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CULTURA!$A$45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CULTURA!$A$46:$A$52</c:f>
              <c:numCache/>
            </c:numRef>
          </c:val>
        </c:ser>
        <c:ser>
          <c:idx val="1"/>
          <c:order val="1"/>
          <c:tx>
            <c:strRef>
              <c:f>CULTURA!$B$45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CULTURA!$C$46:$C$52</c:f>
              <c:strCache/>
            </c:strRef>
          </c:cat>
          <c:val>
            <c:numRef>
              <c:f>CULTURA!$B$46:$B$52</c:f>
              <c:numCache/>
            </c:numRef>
          </c:val>
        </c:ser>
        <c:axId val="39649078"/>
        <c:axId val="21297383"/>
      </c:barChart>
      <c:catAx>
        <c:axId val="396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1297383"/>
        <c:crosses val="autoZero"/>
        <c:auto val="1"/>
        <c:lblOffset val="100"/>
        <c:tickLblSkip val="1"/>
        <c:noMultiLvlLbl val="0"/>
      </c:catAx>
      <c:valAx>
        <c:axId val="21297383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39649078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175"/>
          <c:w val="0.532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8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25"/>
          <c:w val="0.99225"/>
          <c:h val="0.87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DEPORTES!$A$47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DEPORTES!$A$48:$A$54</c:f>
              <c:numCache/>
            </c:numRef>
          </c:val>
        </c:ser>
        <c:ser>
          <c:idx val="1"/>
          <c:order val="1"/>
          <c:tx>
            <c:strRef>
              <c:f>DEPORTES!$B$47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DEPORTES!$C$48:$C$54</c:f>
              <c:strCache/>
            </c:strRef>
          </c:cat>
          <c:val>
            <c:numRef>
              <c:f>DEPORTES!$B$48:$B$54</c:f>
              <c:numCache/>
            </c:numRef>
          </c:val>
        </c:ser>
        <c:axId val="57458720"/>
        <c:axId val="47366433"/>
      </c:barChart>
      <c:catAx>
        <c:axId val="57458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47366433"/>
        <c:crosses val="autoZero"/>
        <c:auto val="1"/>
        <c:lblOffset val="100"/>
        <c:tickLblSkip val="1"/>
        <c:noMultiLvlLbl val="0"/>
      </c:catAx>
      <c:valAx>
        <c:axId val="47366433"/>
        <c:scaling>
          <c:orientation val="minMax"/>
          <c:max val="29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57458720"/>
        <c:crossesAt val="1"/>
        <c:crossBetween val="between"/>
        <c:dispUnits/>
        <c:majorUnit val="25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75"/>
          <c:y val="0.94525"/>
          <c:w val="0.511"/>
          <c:h val="0.04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sng" baseline="0">
                <a:solidFill>
                  <a:srgbClr val="000000"/>
                </a:solidFill>
                <a:latin typeface="Garamond"/>
                <a:ea typeface="Garamond"/>
                <a:cs typeface="Garamond"/>
              </a:rPr>
              <a:t>Gasto por Área y Saldo de Crédito Presupuestario</a:t>
            </a:r>
          </a:p>
        </c:rich>
      </c:tx>
      <c:layout>
        <c:manualLayout>
          <c:xMode val="factor"/>
          <c:yMode val="factor"/>
          <c:x val="-0.00125"/>
          <c:y val="-0.018"/>
        </c:manualLayout>
      </c:layout>
      <c:spPr>
        <a:noFill/>
        <a:ln>
          <a:noFill/>
        </a:ln>
      </c:spPr>
    </c:title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7375"/>
          <c:w val="0.9855"/>
          <c:h val="0.91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v>Personal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I'!$E$61:$E$71</c:f>
              <c:numCache/>
            </c:numRef>
          </c:val>
          <c:shape val="cylinder"/>
        </c:ser>
        <c:ser>
          <c:idx val="1"/>
          <c:order val="1"/>
          <c:tx>
            <c:v>Consumo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I'!$F$61:$F$71</c:f>
              <c:numCache/>
            </c:numRef>
          </c:val>
          <c:shape val="cylinder"/>
        </c:ser>
        <c:ser>
          <c:idx val="2"/>
          <c:order val="2"/>
          <c:tx>
            <c:v>Servicios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I'!$G$61:$G$71</c:f>
              <c:numCache/>
            </c:numRef>
          </c:val>
          <c:shape val="cylinder"/>
        </c:ser>
        <c:ser>
          <c:idx val="3"/>
          <c:order val="3"/>
          <c:tx>
            <c:v>Trans.Ctes.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I'!$H$61:$H$71</c:f>
              <c:numCache/>
            </c:numRef>
          </c:val>
          <c:shape val="cylinder"/>
        </c:ser>
        <c:ser>
          <c:idx val="4"/>
          <c:order val="4"/>
          <c:tx>
            <c:v>Bs.Cap.+Preex.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I'!$I$61:$I$71</c:f>
              <c:numCache/>
            </c:numRef>
          </c:val>
          <c:shape val="cylinder"/>
        </c:ser>
        <c:ser>
          <c:idx val="5"/>
          <c:order val="5"/>
          <c:tx>
            <c:v>Trab.Públ.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I'!$J$61:$J$71</c:f>
              <c:numCache/>
            </c:numRef>
          </c:val>
          <c:shape val="cylinder"/>
        </c:ser>
        <c:ser>
          <c:idx val="7"/>
          <c:order val="6"/>
          <c:tx>
            <c:v>Amort.Dda.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I'!$K$61:$K$71</c:f>
              <c:numCache/>
            </c:numRef>
          </c:val>
          <c:shape val="cylinder"/>
        </c:ser>
        <c:ser>
          <c:idx val="6"/>
          <c:order val="7"/>
          <c:tx>
            <c:v>Sdo.Cto.Pto.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'GENERAL I'!$A$61:$A$71</c:f>
              <c:strCache/>
            </c:strRef>
          </c:cat>
          <c:val>
            <c:numRef>
              <c:f>'GENERAL I'!$L$61:$L$71</c:f>
              <c:numCache/>
            </c:numRef>
          </c:val>
          <c:shape val="cylinder"/>
        </c:ser>
        <c:overlap val="100"/>
        <c:shape val="cylinder"/>
        <c:axId val="23644714"/>
        <c:axId val="11475835"/>
      </c:bar3D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1" u="none" baseline="0">
                <a:solidFill>
                  <a:srgbClr val="000000"/>
                </a:solidFill>
              </a:defRPr>
            </a:pPr>
          </a:p>
        </c:txPr>
        <c:crossAx val="11475835"/>
        <c:crosses val="autoZero"/>
        <c:auto val="1"/>
        <c:lblOffset val="100"/>
        <c:tickLblSkip val="1"/>
        <c:noMultiLvlLbl val="0"/>
      </c:catAx>
      <c:valAx>
        <c:axId val="114758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36447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6325"/>
          <c:w val="0.9842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GOB!$A$52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GOB!$A$53:$A$59</c:f>
              <c:numCache/>
            </c:numRef>
          </c:val>
        </c:ser>
        <c:ser>
          <c:idx val="1"/>
          <c:order val="1"/>
          <c:tx>
            <c:strRef>
              <c:f>GOB!$B$52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GOB!$C$53:$C$59</c:f>
              <c:strCache/>
            </c:strRef>
          </c:cat>
          <c:val>
            <c:numRef>
              <c:f>GOB!$B$53:$B$59</c:f>
              <c:numCache/>
            </c:numRef>
          </c:val>
        </c:ser>
        <c:axId val="8671334"/>
        <c:axId val="10933143"/>
      </c:barChart>
      <c:catAx>
        <c:axId val="86713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10933143"/>
        <c:crosses val="autoZero"/>
        <c:auto val="1"/>
        <c:lblOffset val="100"/>
        <c:tickLblSkip val="1"/>
        <c:noMultiLvlLbl val="0"/>
      </c:catAx>
      <c:valAx>
        <c:axId val="10933143"/>
        <c:scaling>
          <c:orientation val="minMax"/>
          <c:max val="9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1" i="0" u="none" baseline="0">
                <a:solidFill>
                  <a:srgbClr val="000000"/>
                </a:solidFill>
              </a:defRPr>
            </a:pPr>
          </a:p>
        </c:txPr>
        <c:crossAx val="8671334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65"/>
          <c:y val="0.935"/>
          <c:w val="0.5255"/>
          <c:h val="0.0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"/>
          <c:w val="0.994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SEH!$A$48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SEH!$A$49:$A$55</c:f>
              <c:numCache/>
            </c:numRef>
          </c:val>
        </c:ser>
        <c:ser>
          <c:idx val="1"/>
          <c:order val="1"/>
          <c:tx>
            <c:strRef>
              <c:f>SEH!$B$48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SEH!$C$49:$C$55</c:f>
              <c:strCache/>
            </c:strRef>
          </c:cat>
          <c:val>
            <c:numRef>
              <c:f>SEH!$B$49:$B$55</c:f>
              <c:numCache/>
            </c:numRef>
          </c:val>
        </c:ser>
        <c:axId val="31289424"/>
        <c:axId val="13169361"/>
      </c:barChart>
      <c:catAx>
        <c:axId val="31289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13169361"/>
        <c:crosses val="autoZero"/>
        <c:auto val="1"/>
        <c:lblOffset val="100"/>
        <c:tickLblSkip val="1"/>
        <c:noMultiLvlLbl val="0"/>
      </c:catAx>
      <c:valAx>
        <c:axId val="13169361"/>
        <c:scaling>
          <c:orientation val="minMax"/>
          <c:max val="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25" b="1" i="0" u="none" baseline="0">
                <a:solidFill>
                  <a:srgbClr val="000000"/>
                </a:solidFill>
              </a:defRPr>
            </a:pPr>
          </a:p>
        </c:txPr>
        <c:crossAx val="31289424"/>
        <c:crossesAt val="1"/>
        <c:crossBetween val="between"/>
        <c:dispUnits/>
        <c:majorUnit val="500000"/>
      </c:valAx>
      <c:spPr>
        <a:gradFill rotWithShape="1">
          <a:gsLst>
            <a:gs pos="0">
              <a:srgbClr val="C0C0C0"/>
            </a:gs>
            <a:gs pos="100000">
              <a:srgbClr val="F5F5F5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485"/>
          <c:y val="0.93825"/>
          <c:w val="0.487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525"/>
          <c:w val="0.99675"/>
          <c:h val="0.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SAS!$A$47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SAS!$A$48:$A$54</c:f>
              <c:numCache/>
            </c:numRef>
          </c:val>
        </c:ser>
        <c:ser>
          <c:idx val="1"/>
          <c:order val="1"/>
          <c:tx>
            <c:strRef>
              <c:f>SAS!$B$47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SAS!$C$48:$C$54</c:f>
              <c:strCache/>
            </c:strRef>
          </c:cat>
          <c:val>
            <c:numRef>
              <c:f>SAS!$B$48:$B$54</c:f>
              <c:numCache/>
            </c:numRef>
          </c:val>
        </c:ser>
        <c:axId val="51415386"/>
        <c:axId val="60085291"/>
      </c:barChart>
      <c:catAx>
        <c:axId val="5141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60085291"/>
        <c:crosses val="autoZero"/>
        <c:auto val="1"/>
        <c:lblOffset val="100"/>
        <c:tickLblSkip val="1"/>
        <c:noMultiLvlLbl val="0"/>
      </c:catAx>
      <c:valAx>
        <c:axId val="60085291"/>
        <c:scaling>
          <c:orientation val="minMax"/>
          <c:max val="15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0" u="none" baseline="0">
                <a:solidFill>
                  <a:srgbClr val="000000"/>
                </a:solidFill>
              </a:defRPr>
            </a:pPr>
          </a:p>
        </c:txPr>
        <c:crossAx val="51415386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7F7F7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4025"/>
          <c:w val="0.531"/>
          <c:h val="0.04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2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525"/>
          <c:w val="0.9937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SOP!$A$50:$A$56</c:f>
              <c:numCache/>
            </c:numRef>
          </c:val>
        </c:ser>
        <c:ser>
          <c:idx val="1"/>
          <c:order val="1"/>
          <c:tx>
            <c:strRef>
              <c:f>SOP!$B$49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SOP!$C$50:$C$56</c:f>
              <c:strCache/>
            </c:strRef>
          </c:cat>
          <c:val>
            <c:numRef>
              <c:f>SOP!$B$50:$B$56</c:f>
              <c:numCache/>
            </c:numRef>
          </c:val>
        </c:ser>
        <c:gapWidth val="100"/>
        <c:axId val="3896708"/>
        <c:axId val="35070373"/>
      </c:barChart>
      <c:catAx>
        <c:axId val="38967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75" b="1" i="0" u="none" baseline="0">
                <a:solidFill>
                  <a:srgbClr val="000000"/>
                </a:solidFill>
              </a:defRPr>
            </a:pPr>
          </a:p>
        </c:txPr>
        <c:crossAx val="35070373"/>
        <c:crosses val="autoZero"/>
        <c:auto val="1"/>
        <c:lblOffset val="100"/>
        <c:tickLblSkip val="1"/>
        <c:noMultiLvlLbl val="0"/>
      </c:catAx>
      <c:valAx>
        <c:axId val="35070373"/>
        <c:scaling>
          <c:orientation val="minMax"/>
          <c:max val="28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3896708"/>
        <c:crossesAt val="1"/>
        <c:crossBetween val="between"/>
        <c:dispUnits/>
        <c:majorUnit val="200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925"/>
          <c:y val="0.9385"/>
          <c:w val="0.548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9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SFOI!$A$45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2F2F47"/>
                  </a:gs>
                  <a:gs pos="50000">
                    <a:srgbClr val="666699"/>
                  </a:gs>
                  <a:gs pos="100000">
                    <a:srgbClr val="2F2F47"/>
                  </a:gs>
                </a:gsLst>
                <a:lin ang="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SFOI!$C$46:$C$52</c:f>
              <c:strCache/>
            </c:strRef>
          </c:cat>
          <c:val>
            <c:numRef>
              <c:f>SFOI!$A$46:$A$52</c:f>
              <c:numCache/>
            </c:numRef>
          </c:val>
        </c:ser>
        <c:ser>
          <c:idx val="1"/>
          <c:order val="1"/>
          <c:tx>
            <c:strRef>
              <c:f>SFOI!$B$45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SFOI!$C$46:$C$52</c:f>
              <c:strCache/>
            </c:strRef>
          </c:cat>
          <c:val>
            <c:numRef>
              <c:f>SFOI!$B$46:$B$52</c:f>
              <c:numCache/>
            </c:numRef>
          </c:val>
        </c:ser>
        <c:axId val="47197902"/>
        <c:axId val="22127935"/>
      </c:barChart>
      <c:catAx>
        <c:axId val="47197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2127935"/>
        <c:crosses val="autoZero"/>
        <c:auto val="1"/>
        <c:lblOffset val="100"/>
        <c:tickLblSkip val="1"/>
        <c:noMultiLvlLbl val="0"/>
      </c:catAx>
      <c:valAx>
        <c:axId val="22127935"/>
        <c:scaling>
          <c:orientation val="minMax"/>
          <c:max val="18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1" i="0" u="none" baseline="0">
                <a:solidFill>
                  <a:srgbClr val="000000"/>
                </a:solidFill>
              </a:defRPr>
            </a:pPr>
          </a:p>
        </c:txPr>
        <c:crossAx val="47197902"/>
        <c:crossesAt val="1"/>
        <c:crossBetween val="between"/>
        <c:dispUnits/>
        <c:majorUnit val="10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025"/>
          <c:y val="0.93425"/>
          <c:w val="0.465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0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5"/>
          <c:w val="0.9855"/>
          <c:h val="0.8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'CD'!$A$44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'CD'!$A$45:$A$51</c:f>
              <c:numCache/>
            </c:numRef>
          </c:val>
        </c:ser>
        <c:ser>
          <c:idx val="1"/>
          <c:order val="1"/>
          <c:tx>
            <c:strRef>
              <c:f>'CD'!$B$44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'CD'!$C$45:$C$51</c:f>
              <c:strCache/>
            </c:strRef>
          </c:cat>
          <c:val>
            <c:numRef>
              <c:f>'CD'!$B$45:$B$51</c:f>
              <c:numCache/>
            </c:numRef>
          </c:val>
        </c:ser>
        <c:axId val="64933688"/>
        <c:axId val="47532281"/>
      </c:barChart>
      <c:catAx>
        <c:axId val="64933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50" b="1" i="0" u="none" baseline="0">
                <a:solidFill>
                  <a:srgbClr val="000000"/>
                </a:solidFill>
              </a:defRPr>
            </a:pPr>
          </a:p>
        </c:txPr>
        <c:crossAx val="47532281"/>
        <c:crosses val="autoZero"/>
        <c:auto val="1"/>
        <c:lblOffset val="100"/>
        <c:tickLblSkip val="1"/>
        <c:noMultiLvlLbl val="0"/>
      </c:catAx>
      <c:valAx>
        <c:axId val="47532281"/>
        <c:scaling>
          <c:orientation val="minMax"/>
          <c:max val="185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</a:defRPr>
            </a:pPr>
          </a:p>
        </c:txPr>
        <c:crossAx val="64933688"/>
        <c:crossesAt val="1"/>
        <c:crossBetween val="between"/>
        <c:dispUnits/>
        <c:majorUnit val="100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925"/>
          <c:y val="0.93325"/>
          <c:w val="0.523"/>
          <c:h val="0.0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11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7175"/>
          <c:w val="0.976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'CM'!$A$48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'CM'!$A$49:$A$53</c:f>
              <c:numCache/>
            </c:numRef>
          </c:val>
        </c:ser>
        <c:ser>
          <c:idx val="1"/>
          <c:order val="1"/>
          <c:tx>
            <c:strRef>
              <c:f>'CM'!$B$48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'CM'!$C$49:$C$53</c:f>
              <c:strCache/>
            </c:strRef>
          </c:cat>
          <c:val>
            <c:numRef>
              <c:f>'CM'!$B$49:$B$53</c:f>
              <c:numCache/>
            </c:numRef>
          </c:val>
        </c:ser>
        <c:axId val="25137346"/>
        <c:axId val="24909523"/>
      </c:barChart>
      <c:catAx>
        <c:axId val="2513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25" b="1" i="0" u="none" baseline="0">
                <a:solidFill>
                  <a:srgbClr val="000000"/>
                </a:solidFill>
              </a:defRPr>
            </a:pPr>
          </a:p>
        </c:txPr>
        <c:crossAx val="24909523"/>
        <c:crosses val="autoZero"/>
        <c:auto val="1"/>
        <c:lblOffset val="100"/>
        <c:tickLblSkip val="1"/>
        <c:noMultiLvlLbl val="0"/>
      </c:catAx>
      <c:valAx>
        <c:axId val="24909523"/>
        <c:scaling>
          <c:orientation val="minMax"/>
          <c:max val="6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</a:defRPr>
            </a:pPr>
          </a:p>
        </c:txPr>
        <c:crossAx val="25137346"/>
        <c:crossesAt val="1"/>
        <c:crossBetween val="between"/>
        <c:dispUnits/>
        <c:majorUnit val="50000"/>
      </c:valAx>
      <c:spPr>
        <a:gradFill rotWithShape="1">
          <a:gsLst>
            <a:gs pos="0">
              <a:srgbClr val="C0C0C0"/>
            </a:gs>
            <a:gs pos="100000">
              <a:srgbClr val="FBFBFB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5"/>
          <c:y val="0.922"/>
          <c:w val="0.621"/>
          <c:h val="0.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sng" baseline="0">
                <a:solidFill>
                  <a:srgbClr val="000000"/>
                </a:solidFill>
              </a:rPr>
              <a:t>PRESUPUESTO VS. EJECUCION PRESUPUESTARIA</a:t>
            </a:r>
          </a:p>
        </c:rich>
      </c:tx>
      <c:layout>
        <c:manualLayout>
          <c:xMode val="factor"/>
          <c:yMode val="factor"/>
          <c:x val="-0.0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325"/>
          <c:h val="0.8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SSP!$A$49</c:f>
              <c:strCache>
                <c:ptCount val="1"/>
                <c:pt idx="0">
                  <c:v>PRESUPUESTO</c:v>
                </c:pt>
              </c:strCache>
            </c:strRef>
          </c:tx>
          <c:spPr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SSP!$A$50:$A$56</c:f>
              <c:numCache/>
            </c:numRef>
          </c:val>
        </c:ser>
        <c:ser>
          <c:idx val="1"/>
          <c:order val="1"/>
          <c:tx>
            <c:strRef>
              <c:f>SSP!$B$49</c:f>
              <c:strCache>
                <c:ptCount val="1"/>
                <c:pt idx="0">
                  <c:v>EJECUCION</c:v>
                </c:pt>
              </c:strCache>
            </c:strRef>
          </c:tx>
          <c:spPr>
            <a:gradFill rotWithShape="1">
              <a:gsLst>
                <a:gs pos="0">
                  <a:srgbClr val="5E7676"/>
                </a:gs>
                <a:gs pos="50000">
                  <a:srgbClr val="CCFFFF"/>
                </a:gs>
                <a:gs pos="100000">
                  <a:srgbClr val="5E76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SSP!$C$50:$C$56</c:f>
              <c:strCache/>
            </c:strRef>
          </c:cat>
          <c:val>
            <c:numRef>
              <c:f>SSP!$B$50:$B$56</c:f>
              <c:numCache/>
            </c:numRef>
          </c:val>
        </c:ser>
        <c:axId val="22859116"/>
        <c:axId val="4405453"/>
      </c:barChart>
      <c:catAx>
        <c:axId val="22859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475" b="1" i="0" u="none" baseline="0">
                <a:solidFill>
                  <a:srgbClr val="000000"/>
                </a:solidFill>
              </a:defRPr>
            </a:pPr>
          </a:p>
        </c:txPr>
        <c:crossAx val="4405453"/>
        <c:crosses val="autoZero"/>
        <c:auto val="1"/>
        <c:lblOffset val="100"/>
        <c:tickLblSkip val="1"/>
        <c:noMultiLvlLbl val="0"/>
      </c:catAx>
      <c:valAx>
        <c:axId val="4405453"/>
        <c:scaling>
          <c:orientation val="minMax"/>
          <c:max val="29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</a:defRPr>
            </a:pPr>
          </a:p>
        </c:txPr>
        <c:crossAx val="22859116"/>
        <c:crossesAt val="1"/>
        <c:crossBetween val="between"/>
        <c:dispUnits/>
        <c:majorUnit val="2000000"/>
        <c:minorUnit val="58000"/>
      </c:valAx>
      <c:spPr>
        <a:gradFill rotWithShape="1">
          <a:gsLst>
            <a:gs pos="0">
              <a:srgbClr val="C0C0C0"/>
            </a:gs>
            <a:gs pos="100000">
              <a:srgbClr val="F9F9F9"/>
            </a:gs>
          </a:gsLst>
          <a:path path="rect">
            <a:fillToRect l="50000" t="50000" r="50000" b="5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7"/>
          <c:y val="0.937"/>
          <c:w val="0.53075"/>
          <c:h val="0.05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1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  <a:latin typeface="Garamond"/>
          <a:ea typeface="Garamond"/>
          <a:cs typeface="Garamond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14</xdr:row>
      <xdr:rowOff>180975</xdr:rowOff>
    </xdr:from>
    <xdr:to>
      <xdr:col>12</xdr:col>
      <xdr:colOff>571500</xdr:colOff>
      <xdr:row>31</xdr:row>
      <xdr:rowOff>9525</xdr:rowOff>
    </xdr:to>
    <xdr:graphicFrame>
      <xdr:nvGraphicFramePr>
        <xdr:cNvPr id="1" name="Gráfico 1"/>
        <xdr:cNvGraphicFramePr/>
      </xdr:nvGraphicFramePr>
      <xdr:xfrm>
        <a:off x="2085975" y="3171825"/>
        <a:ext cx="64674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12</xdr:row>
      <xdr:rowOff>57150</xdr:rowOff>
    </xdr:from>
    <xdr:to>
      <xdr:col>13</xdr:col>
      <xdr:colOff>409575</xdr:colOff>
      <xdr:row>26</xdr:row>
      <xdr:rowOff>133350</xdr:rowOff>
    </xdr:to>
    <xdr:graphicFrame>
      <xdr:nvGraphicFramePr>
        <xdr:cNvPr id="1" name="Gráfico 1"/>
        <xdr:cNvGraphicFramePr/>
      </xdr:nvGraphicFramePr>
      <xdr:xfrm>
        <a:off x="2466975" y="2676525"/>
        <a:ext cx="6477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15</xdr:row>
      <xdr:rowOff>19050</xdr:rowOff>
    </xdr:from>
    <xdr:to>
      <xdr:col>12</xdr:col>
      <xdr:colOff>561975</xdr:colOff>
      <xdr:row>32</xdr:row>
      <xdr:rowOff>28575</xdr:rowOff>
    </xdr:to>
    <xdr:graphicFrame>
      <xdr:nvGraphicFramePr>
        <xdr:cNvPr id="1" name="Gráfico 1"/>
        <xdr:cNvGraphicFramePr/>
      </xdr:nvGraphicFramePr>
      <xdr:xfrm>
        <a:off x="1876425" y="2714625"/>
        <a:ext cx="65532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9525</xdr:rowOff>
    </xdr:from>
    <xdr:to>
      <xdr:col>9</xdr:col>
      <xdr:colOff>276225</xdr:colOff>
      <xdr:row>33</xdr:row>
      <xdr:rowOff>142875</xdr:rowOff>
    </xdr:to>
    <xdr:graphicFrame>
      <xdr:nvGraphicFramePr>
        <xdr:cNvPr id="1" name="Gráfico 2"/>
        <xdr:cNvGraphicFramePr/>
      </xdr:nvGraphicFramePr>
      <xdr:xfrm>
        <a:off x="314325" y="3886200"/>
        <a:ext cx="78771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104775</xdr:rowOff>
    </xdr:from>
    <xdr:to>
      <xdr:col>12</xdr:col>
      <xdr:colOff>114300</xdr:colOff>
      <xdr:row>35</xdr:row>
      <xdr:rowOff>104775</xdr:rowOff>
    </xdr:to>
    <xdr:graphicFrame>
      <xdr:nvGraphicFramePr>
        <xdr:cNvPr id="1" name="Gráfico 1"/>
        <xdr:cNvGraphicFramePr/>
      </xdr:nvGraphicFramePr>
      <xdr:xfrm>
        <a:off x="1771650" y="4248150"/>
        <a:ext cx="65913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16</xdr:row>
      <xdr:rowOff>152400</xdr:rowOff>
    </xdr:from>
    <xdr:to>
      <xdr:col>13</xdr:col>
      <xdr:colOff>352425</xdr:colOff>
      <xdr:row>31</xdr:row>
      <xdr:rowOff>28575</xdr:rowOff>
    </xdr:to>
    <xdr:graphicFrame>
      <xdr:nvGraphicFramePr>
        <xdr:cNvPr id="1" name="Gráfico 1"/>
        <xdr:cNvGraphicFramePr/>
      </xdr:nvGraphicFramePr>
      <xdr:xfrm>
        <a:off x="2143125" y="3609975"/>
        <a:ext cx="66770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15</xdr:row>
      <xdr:rowOff>142875</xdr:rowOff>
    </xdr:from>
    <xdr:to>
      <xdr:col>12</xdr:col>
      <xdr:colOff>371475</xdr:colOff>
      <xdr:row>32</xdr:row>
      <xdr:rowOff>38100</xdr:rowOff>
    </xdr:to>
    <xdr:graphicFrame>
      <xdr:nvGraphicFramePr>
        <xdr:cNvPr id="1" name="Gráfico 1"/>
        <xdr:cNvGraphicFramePr/>
      </xdr:nvGraphicFramePr>
      <xdr:xfrm>
        <a:off x="2181225" y="3219450"/>
        <a:ext cx="63817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15</xdr:row>
      <xdr:rowOff>171450</xdr:rowOff>
    </xdr:from>
    <xdr:to>
      <xdr:col>12</xdr:col>
      <xdr:colOff>581025</xdr:colOff>
      <xdr:row>31</xdr:row>
      <xdr:rowOff>19050</xdr:rowOff>
    </xdr:to>
    <xdr:graphicFrame>
      <xdr:nvGraphicFramePr>
        <xdr:cNvPr id="1" name="Gráfico 1"/>
        <xdr:cNvGraphicFramePr/>
      </xdr:nvGraphicFramePr>
      <xdr:xfrm>
        <a:off x="1952625" y="3352800"/>
        <a:ext cx="64103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47625</xdr:rowOff>
    </xdr:from>
    <xdr:to>
      <xdr:col>12</xdr:col>
      <xdr:colOff>352425</xdr:colOff>
      <xdr:row>30</xdr:row>
      <xdr:rowOff>28575</xdr:rowOff>
    </xdr:to>
    <xdr:graphicFrame>
      <xdr:nvGraphicFramePr>
        <xdr:cNvPr id="1" name="Gráfico 1"/>
        <xdr:cNvGraphicFramePr/>
      </xdr:nvGraphicFramePr>
      <xdr:xfrm>
        <a:off x="2286000" y="3190875"/>
        <a:ext cx="6143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0</xdr:rowOff>
    </xdr:from>
    <xdr:to>
      <xdr:col>12</xdr:col>
      <xdr:colOff>400050</xdr:colOff>
      <xdr:row>29</xdr:row>
      <xdr:rowOff>66675</xdr:rowOff>
    </xdr:to>
    <xdr:graphicFrame>
      <xdr:nvGraphicFramePr>
        <xdr:cNvPr id="1" name="Gráfico 1"/>
        <xdr:cNvGraphicFramePr/>
      </xdr:nvGraphicFramePr>
      <xdr:xfrm>
        <a:off x="2114550" y="2914650"/>
        <a:ext cx="60769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15</xdr:row>
      <xdr:rowOff>9525</xdr:rowOff>
    </xdr:from>
    <xdr:to>
      <xdr:col>12</xdr:col>
      <xdr:colOff>28575</xdr:colOff>
      <xdr:row>29</xdr:row>
      <xdr:rowOff>85725</xdr:rowOff>
    </xdr:to>
    <xdr:graphicFrame>
      <xdr:nvGraphicFramePr>
        <xdr:cNvPr id="1" name="Gráfico 1"/>
        <xdr:cNvGraphicFramePr/>
      </xdr:nvGraphicFramePr>
      <xdr:xfrm>
        <a:off x="1419225" y="3200400"/>
        <a:ext cx="57150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15</xdr:row>
      <xdr:rowOff>19050</xdr:rowOff>
    </xdr:from>
    <xdr:to>
      <xdr:col>12</xdr:col>
      <xdr:colOff>542925</xdr:colOff>
      <xdr:row>32</xdr:row>
      <xdr:rowOff>19050</xdr:rowOff>
    </xdr:to>
    <xdr:graphicFrame>
      <xdr:nvGraphicFramePr>
        <xdr:cNvPr id="1" name="Gráfico 1"/>
        <xdr:cNvGraphicFramePr/>
      </xdr:nvGraphicFramePr>
      <xdr:xfrm>
        <a:off x="1866900" y="3152775"/>
        <a:ext cx="69246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5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16.57421875" style="1" customWidth="1"/>
    <col min="2" max="2" width="9.140625" style="1" customWidth="1"/>
    <col min="3" max="3" width="10.7109375" style="1" customWidth="1"/>
    <col min="4" max="4" width="7.57421875" style="1" customWidth="1"/>
    <col min="5" max="5" width="9.28125" style="1" customWidth="1"/>
    <col min="6" max="6" width="9.57421875" style="1" customWidth="1"/>
    <col min="7" max="7" width="10.421875" style="1" customWidth="1"/>
    <col min="8" max="8" width="8.421875" style="1" customWidth="1"/>
    <col min="9" max="9" width="10.421875" style="1" customWidth="1"/>
    <col min="10" max="10" width="9.28125" style="1" customWidth="1"/>
    <col min="11" max="11" width="10.28125" style="1" customWidth="1"/>
    <col min="12" max="12" width="8.00390625" style="1" customWidth="1"/>
    <col min="13" max="13" width="10.00390625" style="1" customWidth="1"/>
    <col min="14" max="14" width="8.8515625" style="1" customWidth="1"/>
    <col min="15" max="15" width="10.28125" style="1" customWidth="1"/>
    <col min="16" max="16" width="12.28125" style="1" customWidth="1"/>
    <col min="17" max="17" width="12.42187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103</v>
      </c>
      <c r="C2" s="167"/>
      <c r="D2" s="168"/>
      <c r="E2" s="168"/>
      <c r="L2" s="166" t="s">
        <v>23</v>
      </c>
      <c r="M2" s="166"/>
      <c r="N2" s="149">
        <v>41306</v>
      </c>
      <c r="O2" s="22"/>
    </row>
    <row r="3" spans="2:5" ht="16.5">
      <c r="B3" s="169"/>
      <c r="C3" s="169"/>
      <c r="E3" s="21"/>
    </row>
    <row r="4" spans="3:5" ht="17.25" thickBot="1">
      <c r="C4" s="23"/>
      <c r="D4" s="23"/>
      <c r="E4" s="21"/>
    </row>
    <row r="5" spans="1:17" ht="18" thickTop="1">
      <c r="A5" s="103"/>
      <c r="B5" s="170" t="s">
        <v>1</v>
      </c>
      <c r="C5" s="171"/>
      <c r="D5" s="170" t="s">
        <v>2</v>
      </c>
      <c r="E5" s="171"/>
      <c r="F5" s="170" t="s">
        <v>3</v>
      </c>
      <c r="G5" s="171"/>
      <c r="H5" s="170" t="s">
        <v>4</v>
      </c>
      <c r="I5" s="171"/>
      <c r="J5" s="170" t="s">
        <v>32</v>
      </c>
      <c r="K5" s="171"/>
      <c r="L5" s="104" t="s">
        <v>87</v>
      </c>
      <c r="M5" s="105"/>
      <c r="N5" s="170" t="s">
        <v>33</v>
      </c>
      <c r="O5" s="171"/>
      <c r="P5" s="106" t="s">
        <v>5</v>
      </c>
      <c r="Q5" s="116" t="s">
        <v>38</v>
      </c>
    </row>
    <row r="6" spans="1:17" ht="17.25">
      <c r="A6" s="107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2" t="s">
        <v>25</v>
      </c>
      <c r="Q6" s="117" t="s">
        <v>39</v>
      </c>
    </row>
    <row r="7" spans="1:18" ht="17.25">
      <c r="A7" s="108" t="s">
        <v>14</v>
      </c>
      <c r="B7" s="31">
        <v>751626</v>
      </c>
      <c r="C7" s="32">
        <f>42720.8+202036.09+5389.83+3698.92</f>
        <v>253845.64</v>
      </c>
      <c r="D7" s="31">
        <v>50500</v>
      </c>
      <c r="E7" s="32">
        <f>2106.6+5091.82</f>
        <v>7198.42</v>
      </c>
      <c r="F7" s="31">
        <v>627700</v>
      </c>
      <c r="G7" s="32">
        <f>14188.94+73348.57+5520</f>
        <v>93057.51000000001</v>
      </c>
      <c r="H7" s="31">
        <v>172635</v>
      </c>
      <c r="I7" s="32">
        <f>71016.43+224799.77</f>
        <v>295816.19999999995</v>
      </c>
      <c r="J7" s="31">
        <v>14500</v>
      </c>
      <c r="K7" s="32">
        <f>77941+82229.1</f>
        <v>160170.1</v>
      </c>
      <c r="L7" s="31">
        <v>0</v>
      </c>
      <c r="M7" s="32">
        <v>14250</v>
      </c>
      <c r="N7" s="31">
        <v>700000</v>
      </c>
      <c r="O7" s="32">
        <v>73795.13</v>
      </c>
      <c r="P7" s="109">
        <f>+O7+K7+I7+G7+E7+C7+M7</f>
        <v>898133</v>
      </c>
      <c r="Q7" s="134">
        <f>+B7+D7+F7+H7+J7+N7+L7-P7</f>
        <v>1418828</v>
      </c>
      <c r="R7" s="5"/>
    </row>
    <row r="8" spans="1:17" ht="17.25">
      <c r="A8" s="108" t="s">
        <v>99</v>
      </c>
      <c r="B8" s="31">
        <v>1531124</v>
      </c>
      <c r="C8" s="32">
        <f>64669.53+97740.58</f>
        <v>162410.11</v>
      </c>
      <c r="D8" s="31">
        <v>9000</v>
      </c>
      <c r="E8" s="32">
        <v>0</v>
      </c>
      <c r="F8" s="31">
        <v>24500</v>
      </c>
      <c r="G8" s="32">
        <f>11883.32+2700.86</f>
        <v>14584.18</v>
      </c>
      <c r="H8" s="31">
        <v>180000</v>
      </c>
      <c r="I8" s="32">
        <f>6820.75+32201.21</f>
        <v>39021.96</v>
      </c>
      <c r="J8" s="31">
        <v>0</v>
      </c>
      <c r="K8" s="32">
        <v>0</v>
      </c>
      <c r="L8" s="31">
        <v>0</v>
      </c>
      <c r="M8" s="32">
        <v>0</v>
      </c>
      <c r="N8" s="34">
        <v>0</v>
      </c>
      <c r="O8" s="32">
        <v>67995.62</v>
      </c>
      <c r="P8" s="109">
        <f>+O8+K8+I8+G8+E8+C8</f>
        <v>284011.87</v>
      </c>
      <c r="Q8" s="135">
        <f>+B8+D8+F8+H8+J8+N8-P8</f>
        <v>1460612.13</v>
      </c>
    </row>
    <row r="9" spans="1:17" ht="17.25">
      <c r="A9" s="108" t="s">
        <v>98</v>
      </c>
      <c r="B9" s="31">
        <v>1363040</v>
      </c>
      <c r="C9" s="32">
        <f>71962.22+127300.85</f>
        <v>199263.07</v>
      </c>
      <c r="D9" s="31">
        <v>41807</v>
      </c>
      <c r="E9" s="32">
        <f>257.84+1452.5</f>
        <v>1710.34</v>
      </c>
      <c r="F9" s="31">
        <v>385571</v>
      </c>
      <c r="G9" s="32">
        <f>40291.46+32431.35</f>
        <v>72722.81</v>
      </c>
      <c r="H9" s="31">
        <v>463226</v>
      </c>
      <c r="I9" s="32">
        <v>479.6</v>
      </c>
      <c r="J9" s="31">
        <v>109328</v>
      </c>
      <c r="K9" s="32">
        <v>0</v>
      </c>
      <c r="L9" s="31">
        <v>13120</v>
      </c>
      <c r="M9" s="36">
        <v>0</v>
      </c>
      <c r="N9" s="31">
        <v>0</v>
      </c>
      <c r="O9" s="32">
        <v>69344.66</v>
      </c>
      <c r="P9" s="109">
        <f>+O9+K9+I9+G9+E9+C9+M9</f>
        <v>343520.48</v>
      </c>
      <c r="Q9" s="135">
        <f>+B9+D9+F9+H9+J9+N9-P9+L9</f>
        <v>2032571.52</v>
      </c>
    </row>
    <row r="10" spans="1:17" ht="17.25">
      <c r="A10" s="108" t="s">
        <v>127</v>
      </c>
      <c r="B10" s="31">
        <v>0</v>
      </c>
      <c r="C10" s="32">
        <v>0</v>
      </c>
      <c r="D10" s="31">
        <v>18500</v>
      </c>
      <c r="E10" s="32">
        <v>0</v>
      </c>
      <c r="F10" s="31">
        <v>333000</v>
      </c>
      <c r="G10" s="32">
        <f>1500+5250</f>
        <v>6750</v>
      </c>
      <c r="H10" s="31">
        <v>50000</v>
      </c>
      <c r="I10" s="32">
        <v>0</v>
      </c>
      <c r="J10" s="31">
        <f>7000+2803450</f>
        <v>2810450</v>
      </c>
      <c r="K10" s="32">
        <v>0</v>
      </c>
      <c r="L10" s="31">
        <v>250000</v>
      </c>
      <c r="M10" s="36">
        <v>0</v>
      </c>
      <c r="N10" s="31">
        <v>0</v>
      </c>
      <c r="O10" s="32">
        <v>0</v>
      </c>
      <c r="P10" s="109">
        <f>+O10+K10+I10+G10+E10+C10+M10</f>
        <v>6750</v>
      </c>
      <c r="Q10" s="135">
        <f>+B10+D10+F10+H10+J10+N10-P10+L10</f>
        <v>3455200</v>
      </c>
    </row>
    <row r="11" spans="1:17" ht="9" customHeight="1">
      <c r="A11" s="108"/>
      <c r="B11" s="31"/>
      <c r="C11" s="32"/>
      <c r="D11" s="31"/>
      <c r="E11" s="32"/>
      <c r="F11" s="31"/>
      <c r="G11" s="32"/>
      <c r="H11" s="31"/>
      <c r="I11" s="32"/>
      <c r="J11" s="31"/>
      <c r="K11" s="32"/>
      <c r="L11" s="31"/>
      <c r="M11" s="36"/>
      <c r="N11" s="31"/>
      <c r="O11" s="32"/>
      <c r="P11" s="109"/>
      <c r="Q11" s="135"/>
    </row>
    <row r="12" spans="1:17" ht="18" thickBot="1">
      <c r="A12" s="118" t="s">
        <v>11</v>
      </c>
      <c r="B12" s="114">
        <f aca="true" t="shared" si="0" ref="B12:Q12">SUM(B7:B10)</f>
        <v>3645790</v>
      </c>
      <c r="C12" s="115">
        <f t="shared" si="0"/>
        <v>615518.8200000001</v>
      </c>
      <c r="D12" s="114">
        <f t="shared" si="0"/>
        <v>119807</v>
      </c>
      <c r="E12" s="115">
        <f t="shared" si="0"/>
        <v>8908.76</v>
      </c>
      <c r="F12" s="114">
        <f t="shared" si="0"/>
        <v>1370771</v>
      </c>
      <c r="G12" s="115">
        <f t="shared" si="0"/>
        <v>187114.5</v>
      </c>
      <c r="H12" s="114">
        <f t="shared" si="0"/>
        <v>865861</v>
      </c>
      <c r="I12" s="115">
        <f t="shared" si="0"/>
        <v>335317.75999999995</v>
      </c>
      <c r="J12" s="114">
        <f t="shared" si="0"/>
        <v>2934278</v>
      </c>
      <c r="K12" s="115">
        <f t="shared" si="0"/>
        <v>160170.1</v>
      </c>
      <c r="L12" s="114">
        <f t="shared" si="0"/>
        <v>263120</v>
      </c>
      <c r="M12" s="115">
        <f t="shared" si="0"/>
        <v>14250</v>
      </c>
      <c r="N12" s="114">
        <f t="shared" si="0"/>
        <v>700000</v>
      </c>
      <c r="O12" s="115">
        <f t="shared" si="0"/>
        <v>211135.41</v>
      </c>
      <c r="P12" s="110">
        <f t="shared" si="0"/>
        <v>1532415.35</v>
      </c>
      <c r="Q12" s="136">
        <f t="shared" si="0"/>
        <v>8367211.65</v>
      </c>
    </row>
    <row r="13" spans="1:17" ht="18.75" thickBot="1" thickTop="1">
      <c r="A13" s="119" t="s">
        <v>30</v>
      </c>
      <c r="B13" s="111"/>
      <c r="C13" s="141">
        <f>+C12/B12</f>
        <v>0.16883002586545032</v>
      </c>
      <c r="D13" s="112"/>
      <c r="E13" s="141">
        <f>+E12/D12</f>
        <v>0.07435926114500822</v>
      </c>
      <c r="F13" s="112"/>
      <c r="G13" s="141">
        <f>+G12/F12</f>
        <v>0.13650310664582194</v>
      </c>
      <c r="H13" s="112"/>
      <c r="I13" s="141">
        <f>+I12/H12</f>
        <v>0.38726511530141666</v>
      </c>
      <c r="J13" s="112"/>
      <c r="K13" s="163">
        <f>+K12/J12</f>
        <v>0.054585864052417665</v>
      </c>
      <c r="L13" s="140"/>
      <c r="M13" s="142">
        <f>+M12/L12</f>
        <v>0.05415779872301611</v>
      </c>
      <c r="N13" s="113"/>
      <c r="O13" s="143">
        <f>+O12/N12</f>
        <v>0.3016220142857143</v>
      </c>
      <c r="P13" s="47"/>
      <c r="Q13" s="5"/>
    </row>
    <row r="14" spans="1:17" ht="17.25" thickTop="1">
      <c r="A14" s="48"/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1"/>
      <c r="Q14" s="5"/>
    </row>
    <row r="15" ht="16.5">
      <c r="P15" s="5"/>
    </row>
    <row r="37" spans="1:6" ht="16.5">
      <c r="A37" s="52"/>
      <c r="B37" s="52"/>
      <c r="C37" s="52"/>
      <c r="D37" s="52"/>
      <c r="E37" s="52"/>
      <c r="F37" s="52"/>
    </row>
    <row r="39" spans="3:11" ht="16.5">
      <c r="C39" s="51"/>
      <c r="D39" s="5"/>
      <c r="E39" s="52"/>
      <c r="F39" s="52"/>
      <c r="K39" s="1" t="s">
        <v>85</v>
      </c>
    </row>
    <row r="40" spans="3:6" ht="16.5">
      <c r="C40" s="5"/>
      <c r="D40" s="5"/>
      <c r="E40" s="52"/>
      <c r="F40" s="52"/>
    </row>
    <row r="41" spans="3:6" ht="16.5">
      <c r="C41" s="5"/>
      <c r="D41" s="5"/>
      <c r="E41" s="52"/>
      <c r="F41" s="52"/>
    </row>
    <row r="42" spans="3:6" ht="16.5">
      <c r="C42" s="5"/>
      <c r="D42" s="5"/>
      <c r="E42" s="52"/>
      <c r="F42" s="52"/>
    </row>
    <row r="43" spans="3:6" ht="16.5">
      <c r="C43" s="5"/>
      <c r="D43" s="5"/>
      <c r="E43" s="52"/>
      <c r="F43" s="52"/>
    </row>
    <row r="44" spans="3:6" ht="16.5">
      <c r="C44" s="5"/>
      <c r="D44" s="5"/>
      <c r="E44" s="52"/>
      <c r="F44" s="52"/>
    </row>
    <row r="46" spans="1:3" ht="17.25">
      <c r="A46" s="20" t="s">
        <v>26</v>
      </c>
      <c r="B46" s="53" t="s">
        <v>27</v>
      </c>
      <c r="C46" s="20" t="s">
        <v>28</v>
      </c>
    </row>
    <row r="47" spans="1:3" ht="17.25">
      <c r="A47" s="54">
        <f>+B12</f>
        <v>3645790</v>
      </c>
      <c r="B47" s="51">
        <f>+C12</f>
        <v>615518.8200000001</v>
      </c>
      <c r="C47" s="20" t="s">
        <v>1</v>
      </c>
    </row>
    <row r="48" spans="1:3" ht="17.25">
      <c r="A48" s="54">
        <f>+D12</f>
        <v>119807</v>
      </c>
      <c r="B48" s="51">
        <f>+E12</f>
        <v>8908.76</v>
      </c>
      <c r="C48" s="20" t="s">
        <v>2</v>
      </c>
    </row>
    <row r="49" spans="1:3" ht="17.25">
      <c r="A49" s="54">
        <f>+F12</f>
        <v>1370771</v>
      </c>
      <c r="B49" s="51">
        <f>+G12</f>
        <v>187114.5</v>
      </c>
      <c r="C49" s="20" t="s">
        <v>3</v>
      </c>
    </row>
    <row r="50" spans="1:3" ht="17.25">
      <c r="A50" s="54">
        <f>+H12</f>
        <v>865861</v>
      </c>
      <c r="B50" s="51">
        <f>+I12</f>
        <v>335317.75999999995</v>
      </c>
      <c r="C50" s="20" t="s">
        <v>34</v>
      </c>
    </row>
    <row r="51" spans="1:3" ht="17.25">
      <c r="A51" s="54">
        <f>+J12</f>
        <v>2934278</v>
      </c>
      <c r="B51" s="51">
        <f>+K12</f>
        <v>160170.1</v>
      </c>
      <c r="C51" s="20" t="s">
        <v>32</v>
      </c>
    </row>
    <row r="52" spans="1:3" ht="17.25">
      <c r="A52" s="54">
        <f>+L12</f>
        <v>263120</v>
      </c>
      <c r="B52" s="51">
        <f>+M12</f>
        <v>14250</v>
      </c>
      <c r="C52" s="20" t="s">
        <v>95</v>
      </c>
    </row>
    <row r="53" spans="1:3" ht="17.25">
      <c r="A53" s="54">
        <f>+N12</f>
        <v>700000</v>
      </c>
      <c r="B53" s="51">
        <f>+O12</f>
        <v>211135.41</v>
      </c>
      <c r="C53" s="20" t="s">
        <v>35</v>
      </c>
    </row>
    <row r="55" spans="1:2" ht="16.5">
      <c r="A55" s="54"/>
      <c r="B55" s="51"/>
    </row>
  </sheetData>
  <sheetProtection/>
  <mergeCells count="9">
    <mergeCell ref="L2:M2"/>
    <mergeCell ref="B2:E2"/>
    <mergeCell ref="B3:C3"/>
    <mergeCell ref="N5:O5"/>
    <mergeCell ref="J5:K5"/>
    <mergeCell ref="B5:C5"/>
    <mergeCell ref="D5:E5"/>
    <mergeCell ref="F5:G5"/>
    <mergeCell ref="H5:I5"/>
  </mergeCells>
  <printOptions/>
  <pageMargins left="0.85" right="0.59" top="0.7480314960629921" bottom="1" header="0.34" footer="0"/>
  <pageSetup horizontalDpi="600" verticalDpi="600" orientation="landscape" paperSize="5" r:id="rId2"/>
  <headerFooter alignWithMargins="0">
    <oddHeader>&amp;R&amp;"Palatino Linotype,Normal"&amp;10CONTADURIA MUNICIPAL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I3" sqref="I3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28125" style="1" customWidth="1"/>
    <col min="4" max="4" width="7.140625" style="1" customWidth="1"/>
    <col min="5" max="5" width="9.140625" style="1" customWidth="1"/>
    <col min="6" max="6" width="9.57421875" style="1" customWidth="1"/>
    <col min="7" max="7" width="10.57421875" style="1" customWidth="1"/>
    <col min="8" max="8" width="8.140625" style="1" customWidth="1"/>
    <col min="9" max="9" width="12.7109375" style="1" customWidth="1"/>
    <col min="10" max="10" width="7.421875" style="1" customWidth="1"/>
    <col min="11" max="11" width="8.57421875" style="1" customWidth="1"/>
    <col min="12" max="12" width="7.57421875" style="1" customWidth="1"/>
    <col min="13" max="13" width="8.8515625" style="1" customWidth="1"/>
    <col min="14" max="14" width="7.57421875" style="1" customWidth="1"/>
    <col min="15" max="15" width="10.28125" style="1" customWidth="1"/>
    <col min="16" max="16" width="12.28125" style="1" customWidth="1"/>
    <col min="17" max="17" width="12.00390625" style="1" customWidth="1"/>
    <col min="18" max="18" width="11.851562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117</v>
      </c>
      <c r="C2" s="184"/>
      <c r="D2" s="184"/>
      <c r="E2" s="185"/>
      <c r="F2" s="185"/>
      <c r="G2" s="180"/>
      <c r="K2" s="186" t="s">
        <v>23</v>
      </c>
      <c r="L2" s="186"/>
      <c r="M2" s="149">
        <v>41306</v>
      </c>
      <c r="O2" s="55"/>
    </row>
    <row r="3" spans="2:4" ht="16.5">
      <c r="B3" s="182"/>
      <c r="C3" s="183"/>
      <c r="D3" s="183"/>
    </row>
    <row r="4" ht="17.25" thickBot="1"/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174" t="s">
        <v>4</v>
      </c>
      <c r="I5" s="175"/>
      <c r="J5" s="174" t="s">
        <v>32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7" ht="17.25">
      <c r="A7" s="96"/>
      <c r="B7" s="158"/>
      <c r="C7" s="159"/>
      <c r="D7" s="158"/>
      <c r="E7" s="159"/>
      <c r="F7" s="158"/>
      <c r="G7" s="159"/>
      <c r="H7" s="158"/>
      <c r="I7" s="159"/>
      <c r="J7" s="158"/>
      <c r="K7" s="159"/>
      <c r="L7" s="158"/>
      <c r="M7" s="158"/>
      <c r="N7" s="158"/>
      <c r="O7" s="159"/>
      <c r="P7" s="160"/>
      <c r="Q7" s="161"/>
    </row>
    <row r="8" spans="1:18" ht="17.25">
      <c r="A8" s="30" t="s">
        <v>122</v>
      </c>
      <c r="B8" s="31">
        <v>2802541</v>
      </c>
      <c r="C8" s="32">
        <f>235865.96+257465.4</f>
        <v>493331.36</v>
      </c>
      <c r="D8" s="31">
        <v>48200</v>
      </c>
      <c r="E8" s="32">
        <f>1198.72+1719.91</f>
        <v>2918.63</v>
      </c>
      <c r="F8" s="31">
        <v>1765670</v>
      </c>
      <c r="G8" s="32">
        <f>77133.14+110707.42</f>
        <v>187840.56</v>
      </c>
      <c r="H8" s="31">
        <v>697982</v>
      </c>
      <c r="I8" s="32">
        <f>521042.08+570271.57</f>
        <v>1091313.65</v>
      </c>
      <c r="J8" s="31">
        <v>5000</v>
      </c>
      <c r="K8" s="32">
        <v>0</v>
      </c>
      <c r="L8" s="31">
        <v>100000</v>
      </c>
      <c r="M8" s="36">
        <v>0</v>
      </c>
      <c r="N8" s="31">
        <v>425000</v>
      </c>
      <c r="O8" s="32">
        <v>140218.31</v>
      </c>
      <c r="P8" s="33">
        <f>+C8+E8+G8+I8+K8+O8+M8</f>
        <v>1915622.51</v>
      </c>
      <c r="Q8" s="33">
        <f>+B8+D8+F8+H8+J8+N8+L8-P8</f>
        <v>3928770.49</v>
      </c>
      <c r="R8" s="5"/>
    </row>
    <row r="9" spans="1:18" ht="17.25">
      <c r="A9" s="30"/>
      <c r="B9" s="31"/>
      <c r="C9" s="32"/>
      <c r="D9" s="31"/>
      <c r="E9" s="32"/>
      <c r="F9" s="31"/>
      <c r="G9" s="32"/>
      <c r="H9" s="31"/>
      <c r="I9" s="32"/>
      <c r="J9" s="31"/>
      <c r="K9" s="32"/>
      <c r="L9" s="31"/>
      <c r="M9" s="36"/>
      <c r="N9" s="31"/>
      <c r="O9" s="32"/>
      <c r="P9" s="33"/>
      <c r="Q9" s="33"/>
      <c r="R9" s="5"/>
    </row>
    <row r="10" spans="1:18" ht="18" thickBot="1">
      <c r="A10" s="37" t="s">
        <v>11</v>
      </c>
      <c r="B10" s="38">
        <f aca="true" t="shared" si="0" ref="B10:Q10">SUM(B8:B9)</f>
        <v>2802541</v>
      </c>
      <c r="C10" s="39">
        <f t="shared" si="0"/>
        <v>493331.36</v>
      </c>
      <c r="D10" s="38">
        <f t="shared" si="0"/>
        <v>48200</v>
      </c>
      <c r="E10" s="39">
        <f t="shared" si="0"/>
        <v>2918.63</v>
      </c>
      <c r="F10" s="38">
        <f t="shared" si="0"/>
        <v>1765670</v>
      </c>
      <c r="G10" s="39">
        <f t="shared" si="0"/>
        <v>187840.56</v>
      </c>
      <c r="H10" s="38">
        <f t="shared" si="0"/>
        <v>697982</v>
      </c>
      <c r="I10" s="39">
        <f t="shared" si="0"/>
        <v>1091313.65</v>
      </c>
      <c r="J10" s="38">
        <f t="shared" si="0"/>
        <v>5000</v>
      </c>
      <c r="K10" s="39">
        <f t="shared" si="0"/>
        <v>0</v>
      </c>
      <c r="L10" s="38">
        <f t="shared" si="0"/>
        <v>100000</v>
      </c>
      <c r="M10" s="39">
        <f t="shared" si="0"/>
        <v>0</v>
      </c>
      <c r="N10" s="38">
        <f t="shared" si="0"/>
        <v>425000</v>
      </c>
      <c r="O10" s="39">
        <f t="shared" si="0"/>
        <v>140218.31</v>
      </c>
      <c r="P10" s="41">
        <f t="shared" si="0"/>
        <v>1915622.51</v>
      </c>
      <c r="Q10" s="41">
        <f t="shared" si="0"/>
        <v>3928770.49</v>
      </c>
      <c r="R10" s="5"/>
    </row>
    <row r="11" spans="1:17" ht="17.25" thickBot="1">
      <c r="A11" s="42" t="s">
        <v>30</v>
      </c>
      <c r="B11" s="43"/>
      <c r="C11" s="137">
        <f>+C10/B10</f>
        <v>0.1760300241816266</v>
      </c>
      <c r="D11" s="137"/>
      <c r="E11" s="45">
        <f>+E10/D10</f>
        <v>0.060552489626556016</v>
      </c>
      <c r="F11" s="137"/>
      <c r="G11" s="137">
        <f>+G10/F10</f>
        <v>0.10638486240350688</v>
      </c>
      <c r="H11" s="137"/>
      <c r="I11" s="137">
        <f>+I10/H10</f>
        <v>1.5635269247631027</v>
      </c>
      <c r="J11" s="137"/>
      <c r="K11" s="45">
        <f>+K10/J10</f>
        <v>0</v>
      </c>
      <c r="L11" s="162"/>
      <c r="M11" s="45">
        <f>+M10/L10</f>
        <v>0</v>
      </c>
      <c r="N11" s="148"/>
      <c r="O11" s="139">
        <f>+O10/N10</f>
        <v>0.32992543529411766</v>
      </c>
      <c r="P11" s="57"/>
      <c r="Q11" s="5"/>
    </row>
    <row r="12" spans="1:17" ht="16.5">
      <c r="A12" s="48"/>
      <c r="B12" s="48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"/>
    </row>
    <row r="13" spans="1:16" ht="16.5">
      <c r="A13" s="48"/>
      <c r="B13" s="4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</row>
    <row r="30" spans="5:8" ht="16.5">
      <c r="E30" s="58"/>
      <c r="F30" s="58"/>
      <c r="G30" s="59"/>
      <c r="H30" s="59"/>
    </row>
    <row r="31" spans="5:8" ht="16.5">
      <c r="E31" s="60"/>
      <c r="F31" s="60"/>
      <c r="G31" s="60"/>
      <c r="H31" s="60"/>
    </row>
    <row r="36" spans="1:6" ht="16.5">
      <c r="A36" s="52"/>
      <c r="B36" s="52"/>
      <c r="C36" s="52"/>
      <c r="D36" s="52"/>
      <c r="E36" s="52"/>
      <c r="F36" s="52"/>
    </row>
    <row r="37" ht="16.5">
      <c r="C37" s="47"/>
    </row>
    <row r="38" spans="3:6" ht="16.5">
      <c r="C38" s="51"/>
      <c r="D38" s="5"/>
      <c r="E38" s="52"/>
      <c r="F38" s="52"/>
    </row>
    <row r="39" spans="3:6" ht="16.5">
      <c r="C39" s="51"/>
      <c r="D39" s="5"/>
      <c r="E39" s="52"/>
      <c r="F39" s="52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5" spans="1:5" ht="16.5">
      <c r="A45" s="61" t="s">
        <v>26</v>
      </c>
      <c r="B45" s="61" t="s">
        <v>27</v>
      </c>
      <c r="C45" s="61" t="s">
        <v>28</v>
      </c>
      <c r="D45" s="61"/>
      <c r="E45" s="62"/>
    </row>
    <row r="46" spans="1:3" ht="17.25">
      <c r="A46" s="63">
        <f>+B10</f>
        <v>2802541</v>
      </c>
      <c r="B46" s="64">
        <f>+C10</f>
        <v>493331.36</v>
      </c>
      <c r="C46" s="61" t="s">
        <v>1</v>
      </c>
    </row>
    <row r="47" spans="1:3" ht="17.25">
      <c r="A47" s="63">
        <f>+D10</f>
        <v>48200</v>
      </c>
      <c r="B47" s="64">
        <f>+E10</f>
        <v>2918.63</v>
      </c>
      <c r="C47" s="61" t="s">
        <v>2</v>
      </c>
    </row>
    <row r="48" spans="1:3" ht="17.25">
      <c r="A48" s="63">
        <f>+F10</f>
        <v>1765670</v>
      </c>
      <c r="B48" s="64">
        <f>+G10</f>
        <v>187840.56</v>
      </c>
      <c r="C48" s="61" t="s">
        <v>3</v>
      </c>
    </row>
    <row r="49" spans="1:3" ht="17.25">
      <c r="A49" s="63">
        <f>+H10</f>
        <v>697982</v>
      </c>
      <c r="B49" s="64">
        <f>+I10</f>
        <v>1091313.65</v>
      </c>
      <c r="C49" s="61" t="s">
        <v>34</v>
      </c>
    </row>
    <row r="50" spans="1:3" ht="17.25">
      <c r="A50" s="63">
        <f>+J10</f>
        <v>5000</v>
      </c>
      <c r="B50" s="64">
        <f>+K10</f>
        <v>0</v>
      </c>
      <c r="C50" s="61" t="s">
        <v>32</v>
      </c>
    </row>
    <row r="51" spans="1:3" ht="17.25">
      <c r="A51" s="65">
        <f>+L10</f>
        <v>100000</v>
      </c>
      <c r="B51" s="64">
        <f>+M10</f>
        <v>0</v>
      </c>
      <c r="C51" s="61" t="s">
        <v>100</v>
      </c>
    </row>
    <row r="52" spans="1:3" ht="17.25">
      <c r="A52" s="63">
        <f>+N10</f>
        <v>425000</v>
      </c>
      <c r="B52" s="64">
        <f>+O10</f>
        <v>140218.31</v>
      </c>
      <c r="C52" s="61" t="s">
        <v>35</v>
      </c>
    </row>
    <row r="53" spans="1:3" ht="17.25">
      <c r="A53" s="63"/>
      <c r="B53" s="63"/>
      <c r="C53" s="61"/>
    </row>
    <row r="54" spans="1:2" ht="16.5">
      <c r="A54" s="1">
        <v>2809993</v>
      </c>
      <c r="B54" s="5">
        <v>749308.3</v>
      </c>
    </row>
  </sheetData>
  <sheetProtection/>
  <mergeCells count="10">
    <mergeCell ref="B2:G2"/>
    <mergeCell ref="B3:D3"/>
    <mergeCell ref="J5:K5"/>
    <mergeCell ref="N5:O5"/>
    <mergeCell ref="B5:C5"/>
    <mergeCell ref="D5:E5"/>
    <mergeCell ref="F5:G5"/>
    <mergeCell ref="H5:I5"/>
    <mergeCell ref="L5:M5"/>
    <mergeCell ref="K2:L2"/>
  </mergeCells>
  <printOptions/>
  <pageMargins left="0.7874015748031497" right="0.59" top="0.61" bottom="0.4330708661417323" header="0" footer="0"/>
  <pageSetup horizontalDpi="300" verticalDpi="3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8.7109375" style="1" customWidth="1"/>
    <col min="2" max="2" width="9.28125" style="1" customWidth="1"/>
    <col min="3" max="3" width="10.421875" style="1" customWidth="1"/>
    <col min="4" max="4" width="6.8515625" style="1" customWidth="1"/>
    <col min="5" max="5" width="9.28125" style="1" customWidth="1"/>
    <col min="6" max="6" width="9.421875" style="1" customWidth="1"/>
    <col min="7" max="7" width="11.140625" style="1" customWidth="1"/>
    <col min="8" max="8" width="9.140625" style="1" customWidth="1"/>
    <col min="9" max="9" width="10.421875" style="1" customWidth="1"/>
    <col min="10" max="10" width="6.8515625" style="1" customWidth="1"/>
    <col min="11" max="11" width="8.57421875" style="1" customWidth="1"/>
    <col min="12" max="12" width="7.8515625" style="1" customWidth="1"/>
    <col min="13" max="13" width="9.140625" style="1" customWidth="1"/>
    <col min="14" max="14" width="7.7109375" style="1" customWidth="1"/>
    <col min="15" max="15" width="10.57421875" style="1" customWidth="1"/>
    <col min="16" max="17" width="12.57421875" style="1" customWidth="1"/>
    <col min="18" max="18" width="11.710937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118</v>
      </c>
      <c r="C2" s="184"/>
      <c r="D2" s="184"/>
      <c r="E2" s="185"/>
      <c r="F2" s="185"/>
      <c r="G2" s="180"/>
      <c r="K2" s="187" t="s">
        <v>23</v>
      </c>
      <c r="L2" s="188"/>
      <c r="M2" s="149">
        <v>41306</v>
      </c>
      <c r="O2" s="55"/>
    </row>
    <row r="3" spans="2:4" ht="16.5">
      <c r="B3" s="182"/>
      <c r="C3" s="183"/>
      <c r="D3" s="183"/>
    </row>
    <row r="4" ht="17.25" thickBot="1"/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174" t="s">
        <v>4</v>
      </c>
      <c r="I5" s="175"/>
      <c r="J5" s="174" t="s">
        <v>32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7" ht="17.25">
      <c r="A7" s="96"/>
      <c r="B7" s="158"/>
      <c r="C7" s="159"/>
      <c r="D7" s="158"/>
      <c r="E7" s="159"/>
      <c r="F7" s="158"/>
      <c r="G7" s="159"/>
      <c r="H7" s="158"/>
      <c r="I7" s="159"/>
      <c r="J7" s="158"/>
      <c r="K7" s="159"/>
      <c r="L7" s="158"/>
      <c r="M7" s="158"/>
      <c r="N7" s="158"/>
      <c r="O7" s="159"/>
      <c r="P7" s="160"/>
      <c r="Q7" s="161"/>
    </row>
    <row r="8" spans="1:18" ht="17.25">
      <c r="A8" s="30" t="s">
        <v>122</v>
      </c>
      <c r="B8" s="31">
        <v>2829569</v>
      </c>
      <c r="C8" s="32">
        <f>253978.1+257419.37</f>
        <v>511397.47</v>
      </c>
      <c r="D8" s="31">
        <v>69975</v>
      </c>
      <c r="E8" s="32">
        <f>485.3+2077.98</f>
        <v>2563.28</v>
      </c>
      <c r="F8" s="31">
        <v>2245306</v>
      </c>
      <c r="G8" s="32">
        <f>99440.67+180277.06</f>
        <v>279717.73</v>
      </c>
      <c r="H8" s="31">
        <v>1255979</v>
      </c>
      <c r="I8" s="32">
        <f>67742+64350</f>
        <v>132092</v>
      </c>
      <c r="J8" s="31">
        <v>55000</v>
      </c>
      <c r="K8" s="32">
        <v>0</v>
      </c>
      <c r="L8" s="31">
        <v>0</v>
      </c>
      <c r="M8" s="36">
        <v>0</v>
      </c>
      <c r="N8" s="31">
        <v>425000</v>
      </c>
      <c r="O8" s="32">
        <v>152080.55</v>
      </c>
      <c r="P8" s="33">
        <f>+C8+E8+G8+I8+K8+O8+M8</f>
        <v>1077851.03</v>
      </c>
      <c r="Q8" s="33">
        <f>+B8+D8+F8+H8+J8+N8+L8-P8</f>
        <v>5802977.97</v>
      </c>
      <c r="R8" s="5"/>
    </row>
    <row r="9" spans="1:18" ht="17.25" hidden="1">
      <c r="A9" s="30" t="s">
        <v>123</v>
      </c>
      <c r="B9" s="31">
        <v>0</v>
      </c>
      <c r="C9" s="32"/>
      <c r="D9" s="31">
        <v>0</v>
      </c>
      <c r="E9" s="32"/>
      <c r="F9" s="31">
        <v>0</v>
      </c>
      <c r="G9" s="32"/>
      <c r="H9" s="31">
        <v>0</v>
      </c>
      <c r="I9" s="32"/>
      <c r="J9" s="31">
        <v>0</v>
      </c>
      <c r="K9" s="32"/>
      <c r="L9" s="31">
        <v>0</v>
      </c>
      <c r="M9" s="36"/>
      <c r="N9" s="31">
        <v>0</v>
      </c>
      <c r="O9" s="32"/>
      <c r="P9" s="33">
        <f>+C9+E9+G9+I9+K9+O9</f>
        <v>0</v>
      </c>
      <c r="Q9" s="33">
        <f>+B9+D9+F9+H9+J9+N9-P9</f>
        <v>0</v>
      </c>
      <c r="R9" s="5"/>
    </row>
    <row r="10" spans="1:18" ht="17.25" hidden="1">
      <c r="A10" s="30" t="s">
        <v>124</v>
      </c>
      <c r="B10" s="31">
        <v>0</v>
      </c>
      <c r="C10" s="32"/>
      <c r="D10" s="34">
        <v>0</v>
      </c>
      <c r="E10" s="32"/>
      <c r="F10" s="31">
        <v>0</v>
      </c>
      <c r="G10" s="32"/>
      <c r="H10" s="31">
        <v>0</v>
      </c>
      <c r="I10" s="32"/>
      <c r="J10" s="34">
        <v>0</v>
      </c>
      <c r="K10" s="32"/>
      <c r="L10" s="31">
        <v>0</v>
      </c>
      <c r="M10" s="36"/>
      <c r="N10" s="31">
        <v>0</v>
      </c>
      <c r="O10" s="32"/>
      <c r="P10" s="33">
        <f>+C10+E10+G10+I10+K10+O10</f>
        <v>0</v>
      </c>
      <c r="Q10" s="33">
        <f>+B10+D10+F10+H10+J10+N10-P10</f>
        <v>0</v>
      </c>
      <c r="R10" s="5"/>
    </row>
    <row r="11" spans="1:18" ht="14.25" customHeight="1">
      <c r="A11" s="30"/>
      <c r="B11" s="31"/>
      <c r="C11" s="32"/>
      <c r="D11" s="34"/>
      <c r="E11" s="32"/>
      <c r="F11" s="31"/>
      <c r="G11" s="32"/>
      <c r="H11" s="31"/>
      <c r="I11" s="32"/>
      <c r="J11" s="34"/>
      <c r="K11" s="32"/>
      <c r="L11" s="36"/>
      <c r="M11" s="36"/>
      <c r="N11" s="31"/>
      <c r="O11" s="32"/>
      <c r="P11" s="33"/>
      <c r="Q11" s="33"/>
      <c r="R11" s="5"/>
    </row>
    <row r="12" spans="1:18" ht="18" thickBot="1">
      <c r="A12" s="37" t="s">
        <v>11</v>
      </c>
      <c r="B12" s="38">
        <f aca="true" t="shared" si="0" ref="B12:Q12">SUM(B8:B11)</f>
        <v>2829569</v>
      </c>
      <c r="C12" s="39">
        <f t="shared" si="0"/>
        <v>511397.47</v>
      </c>
      <c r="D12" s="38">
        <f t="shared" si="0"/>
        <v>69975</v>
      </c>
      <c r="E12" s="39">
        <f t="shared" si="0"/>
        <v>2563.28</v>
      </c>
      <c r="F12" s="38">
        <f t="shared" si="0"/>
        <v>2245306</v>
      </c>
      <c r="G12" s="39">
        <f t="shared" si="0"/>
        <v>279717.73</v>
      </c>
      <c r="H12" s="38">
        <f t="shared" si="0"/>
        <v>1255979</v>
      </c>
      <c r="I12" s="39">
        <f t="shared" si="0"/>
        <v>132092</v>
      </c>
      <c r="J12" s="38">
        <f t="shared" si="0"/>
        <v>55000</v>
      </c>
      <c r="K12" s="39">
        <f t="shared" si="0"/>
        <v>0</v>
      </c>
      <c r="L12" s="38">
        <f t="shared" si="0"/>
        <v>0</v>
      </c>
      <c r="M12" s="39">
        <f t="shared" si="0"/>
        <v>0</v>
      </c>
      <c r="N12" s="38">
        <f t="shared" si="0"/>
        <v>425000</v>
      </c>
      <c r="O12" s="39">
        <f t="shared" si="0"/>
        <v>152080.55</v>
      </c>
      <c r="P12" s="41">
        <f t="shared" si="0"/>
        <v>1077851.03</v>
      </c>
      <c r="Q12" s="41">
        <f t="shared" si="0"/>
        <v>5802977.97</v>
      </c>
      <c r="R12" s="5"/>
    </row>
    <row r="13" spans="1:17" ht="17.25" thickBot="1">
      <c r="A13" s="42" t="s">
        <v>30</v>
      </c>
      <c r="B13" s="43"/>
      <c r="C13" s="137">
        <f>+C12/B12</f>
        <v>0.18073334490164403</v>
      </c>
      <c r="D13" s="137"/>
      <c r="E13" s="137">
        <f>+E12/D12</f>
        <v>0.0366313683458378</v>
      </c>
      <c r="F13" s="137"/>
      <c r="G13" s="137">
        <f>+G12/F12</f>
        <v>0.12457889036060117</v>
      </c>
      <c r="H13" s="44"/>
      <c r="I13" s="45">
        <f>+I12/H12</f>
        <v>0.10517054823368863</v>
      </c>
      <c r="J13" s="44"/>
      <c r="K13" s="44">
        <f>+K12/J12</f>
        <v>0</v>
      </c>
      <c r="L13" s="46"/>
      <c r="M13" s="145"/>
      <c r="N13" s="44"/>
      <c r="O13" s="139">
        <f>+O12/N12</f>
        <v>0.3578365882352941</v>
      </c>
      <c r="P13" s="57"/>
      <c r="Q13" s="5"/>
    </row>
    <row r="14" spans="1:17" ht="9" customHeight="1">
      <c r="A14" s="48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"/>
    </row>
    <row r="15" spans="1:16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</row>
    <row r="32" spans="5:8" ht="16.5">
      <c r="E32" s="58"/>
      <c r="F32" s="58"/>
      <c r="G32" s="59"/>
      <c r="H32" s="59"/>
    </row>
    <row r="33" spans="5:8" ht="16.5">
      <c r="E33" s="60"/>
      <c r="F33" s="60"/>
      <c r="G33" s="60"/>
      <c r="H33" s="60"/>
    </row>
    <row r="38" spans="1:6" ht="16.5">
      <c r="A38" s="52"/>
      <c r="B38" s="52"/>
      <c r="C38" s="52"/>
      <c r="D38" s="52"/>
      <c r="E38" s="52"/>
      <c r="F38" s="52"/>
    </row>
    <row r="39" ht="16.5">
      <c r="C39" s="47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7" spans="1:5" ht="16.5">
      <c r="A47" s="61" t="s">
        <v>26</v>
      </c>
      <c r="B47" s="61" t="s">
        <v>27</v>
      </c>
      <c r="C47" s="61" t="s">
        <v>28</v>
      </c>
      <c r="D47" s="61"/>
      <c r="E47" s="62"/>
    </row>
    <row r="48" spans="1:3" ht="17.25">
      <c r="A48" s="63">
        <f>+B12</f>
        <v>2829569</v>
      </c>
      <c r="B48" s="64">
        <f>+C12</f>
        <v>511397.47</v>
      </c>
      <c r="C48" s="61" t="s">
        <v>1</v>
      </c>
    </row>
    <row r="49" spans="1:3" ht="17.25">
      <c r="A49" s="63">
        <f>+D12</f>
        <v>69975</v>
      </c>
      <c r="B49" s="64">
        <f>+E12</f>
        <v>2563.28</v>
      </c>
      <c r="C49" s="61" t="s">
        <v>2</v>
      </c>
    </row>
    <row r="50" spans="1:3" ht="17.25">
      <c r="A50" s="63">
        <f>+F12</f>
        <v>2245306</v>
      </c>
      <c r="B50" s="64">
        <f>+G12</f>
        <v>279717.73</v>
      </c>
      <c r="C50" s="61" t="s">
        <v>3</v>
      </c>
    </row>
    <row r="51" spans="1:3" ht="17.25">
      <c r="A51" s="63">
        <f>+H12</f>
        <v>1255979</v>
      </c>
      <c r="B51" s="64">
        <f>+I12</f>
        <v>132092</v>
      </c>
      <c r="C51" s="61" t="s">
        <v>34</v>
      </c>
    </row>
    <row r="52" spans="1:3" ht="17.25">
      <c r="A52" s="63">
        <f>+J12</f>
        <v>55000</v>
      </c>
      <c r="B52" s="64">
        <f>+K12</f>
        <v>0</v>
      </c>
      <c r="C52" s="61" t="s">
        <v>32</v>
      </c>
    </row>
    <row r="53" spans="1:3" ht="17.25">
      <c r="A53" s="65">
        <f>+L12</f>
        <v>0</v>
      </c>
      <c r="B53" s="64">
        <f>+M12</f>
        <v>0</v>
      </c>
      <c r="C53" s="61" t="s">
        <v>100</v>
      </c>
    </row>
    <row r="54" spans="1:3" ht="17.25">
      <c r="A54" s="63">
        <f>+N12</f>
        <v>425000</v>
      </c>
      <c r="B54" s="64">
        <f>+O12</f>
        <v>152080.55</v>
      </c>
      <c r="C54" s="61" t="s">
        <v>35</v>
      </c>
    </row>
    <row r="55" spans="1:3" ht="17.25">
      <c r="A55" s="63">
        <f>SUM(A48:A54)</f>
        <v>6880829</v>
      </c>
      <c r="B55" s="64">
        <f>SUM(B48:B54)</f>
        <v>1077851.03</v>
      </c>
      <c r="C55" s="61"/>
    </row>
    <row r="56" ht="16.5">
      <c r="B56" s="5"/>
    </row>
  </sheetData>
  <sheetProtection/>
  <mergeCells count="10">
    <mergeCell ref="B2:G2"/>
    <mergeCell ref="K2:L2"/>
    <mergeCell ref="B3:D3"/>
    <mergeCell ref="J5:K5"/>
    <mergeCell ref="N5:O5"/>
    <mergeCell ref="B5:C5"/>
    <mergeCell ref="D5:E5"/>
    <mergeCell ref="F5:G5"/>
    <mergeCell ref="H5:I5"/>
    <mergeCell ref="L5:M5"/>
  </mergeCells>
  <printOptions/>
  <pageMargins left="0.93" right="0.75" top="0.95" bottom="0.58" header="0.41" footer="0"/>
  <pageSetup horizontalDpi="600" verticalDpi="600" orientation="landscape" paperSize="5" r:id="rId2"/>
  <headerFooter alignWithMargins="0">
    <oddHeader>&amp;RCONTADURIA MUNICIPAL</oddHeader>
    <oddFooter>&amp;L&amp;D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M31" sqref="M31"/>
    </sheetView>
  </sheetViews>
  <sheetFormatPr defaultColWidth="11.421875" defaultRowHeight="15"/>
  <cols>
    <col min="1" max="1" width="20.57421875" style="1" customWidth="1"/>
    <col min="2" max="2" width="13.8515625" style="1" customWidth="1"/>
    <col min="3" max="3" width="13.140625" style="1" customWidth="1"/>
    <col min="4" max="4" width="9.28125" style="1" customWidth="1"/>
    <col min="5" max="5" width="13.140625" style="1" customWidth="1"/>
    <col min="6" max="6" width="12.28125" style="1" customWidth="1"/>
    <col min="7" max="7" width="12.00390625" style="1" customWidth="1"/>
    <col min="8" max="8" width="12.140625" style="1" customWidth="1"/>
    <col min="9" max="9" width="12.28125" style="1" customWidth="1"/>
    <col min="10" max="10" width="12.140625" style="1" customWidth="1"/>
    <col min="11" max="11" width="12.421875" style="1" customWidth="1"/>
    <col min="12" max="12" width="14.140625" style="1" customWidth="1"/>
    <col min="13" max="13" width="11.421875" style="1" customWidth="1"/>
    <col min="14" max="14" width="12.28125" style="1" bestFit="1" customWidth="1"/>
    <col min="15" max="16384" width="11.421875" style="1" customWidth="1"/>
  </cols>
  <sheetData>
    <row r="1" ht="17.25">
      <c r="A1" s="165" t="s">
        <v>41</v>
      </c>
    </row>
    <row r="2" spans="1:3" ht="18.75" thickBot="1">
      <c r="A2" s="17" t="s">
        <v>42</v>
      </c>
      <c r="C2" s="149">
        <v>41306</v>
      </c>
    </row>
    <row r="3" spans="1:12" ht="18" thickTop="1">
      <c r="A3" s="2" t="s">
        <v>43</v>
      </c>
      <c r="B3" s="152" t="s">
        <v>44</v>
      </c>
      <c r="C3" s="152" t="s">
        <v>25</v>
      </c>
      <c r="D3" s="152" t="s">
        <v>45</v>
      </c>
      <c r="E3" s="189" t="s">
        <v>46</v>
      </c>
      <c r="F3" s="190"/>
      <c r="G3" s="190"/>
      <c r="H3" s="190"/>
      <c r="I3" s="190"/>
      <c r="J3" s="190"/>
      <c r="K3" s="191"/>
      <c r="L3" s="154" t="s">
        <v>24</v>
      </c>
    </row>
    <row r="4" spans="1:12" ht="17.25">
      <c r="A4" s="3"/>
      <c r="B4" s="153" t="s">
        <v>47</v>
      </c>
      <c r="C4" s="153" t="s">
        <v>47</v>
      </c>
      <c r="D4" s="153" t="s">
        <v>48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49</v>
      </c>
      <c r="J4" s="4" t="s">
        <v>29</v>
      </c>
      <c r="K4" s="4" t="s">
        <v>35</v>
      </c>
      <c r="L4" s="155" t="s">
        <v>50</v>
      </c>
    </row>
    <row r="5" spans="1:12" ht="16.5">
      <c r="A5" s="156" t="s">
        <v>15</v>
      </c>
      <c r="B5" s="100">
        <f>+INT!P12+INT!Q12</f>
        <v>9899627</v>
      </c>
      <c r="C5" s="100">
        <f>SUM(E5:K5)</f>
        <v>1532415.35</v>
      </c>
      <c r="D5" s="101">
        <f>+C5/B5</f>
        <v>0.15479526147803346</v>
      </c>
      <c r="E5" s="100">
        <f>+INT!C12</f>
        <v>615518.8200000001</v>
      </c>
      <c r="F5" s="100">
        <f>+INT!E$12</f>
        <v>8908.76</v>
      </c>
      <c r="G5" s="100">
        <f>+INT!G$12</f>
        <v>187114.5</v>
      </c>
      <c r="H5" s="100">
        <f>+INT!I$12</f>
        <v>335317.75999999995</v>
      </c>
      <c r="I5" s="100">
        <f>+INT!K$12</f>
        <v>160170.1</v>
      </c>
      <c r="J5" s="100">
        <f>+INT!M12</f>
        <v>14250</v>
      </c>
      <c r="K5" s="100">
        <f>+INT!O$12</f>
        <v>211135.41</v>
      </c>
      <c r="L5" s="102">
        <f>+B5-C5</f>
        <v>8367211.65</v>
      </c>
    </row>
    <row r="6" spans="1:12" ht="16.5">
      <c r="A6" s="156" t="s">
        <v>16</v>
      </c>
      <c r="B6" s="100">
        <f>+GOB!P18+GOB!Q18</f>
        <v>14876107</v>
      </c>
      <c r="C6" s="100">
        <f>SUM(E6:K6)</f>
        <v>3437175.2700000005</v>
      </c>
      <c r="D6" s="101">
        <f>+C6/B6</f>
        <v>0.23105341135284926</v>
      </c>
      <c r="E6" s="100">
        <f>+GOB!C18</f>
        <v>1415121.53</v>
      </c>
      <c r="F6" s="100">
        <f>+GOB!E18</f>
        <v>21764.589999999997</v>
      </c>
      <c r="G6" s="100">
        <f>+GOB!G18</f>
        <v>966993.78</v>
      </c>
      <c r="H6" s="100">
        <f>+GOB!I18</f>
        <v>366130.77</v>
      </c>
      <c r="I6" s="100">
        <f>+GOB!K18</f>
        <v>17330.29</v>
      </c>
      <c r="J6" s="100">
        <f>+GOB!M18</f>
        <v>89414.14</v>
      </c>
      <c r="K6" s="100">
        <f>+GOB!O18</f>
        <v>560420.17</v>
      </c>
      <c r="L6" s="102">
        <f>+B6-C6</f>
        <v>11438931.73</v>
      </c>
    </row>
    <row r="7" spans="1:12" ht="16.5">
      <c r="A7" s="156" t="s">
        <v>17</v>
      </c>
      <c r="B7" s="100">
        <f>+SEH!P14+SEH!Q14</f>
        <v>13770637</v>
      </c>
      <c r="C7" s="100">
        <f>SUM(E7:K7)</f>
        <v>2520406.37</v>
      </c>
      <c r="D7" s="101">
        <f>+C7/B7</f>
        <v>0.18302758035085814</v>
      </c>
      <c r="E7" s="100">
        <f>+SEH!C14</f>
        <v>1136306.44</v>
      </c>
      <c r="F7" s="100">
        <f>+SEH!E14</f>
        <v>587602.0299999999</v>
      </c>
      <c r="G7" s="100">
        <f>+SEH!G14</f>
        <v>377438.19999999995</v>
      </c>
      <c r="H7" s="100">
        <f>+SEH!I14</f>
        <v>0</v>
      </c>
      <c r="I7" s="100">
        <f>+SEH!K14</f>
        <v>3890</v>
      </c>
      <c r="J7" s="100">
        <f>+SEH!M14</f>
        <v>0</v>
      </c>
      <c r="K7" s="100">
        <f>+SEH!O14</f>
        <v>415169.70000000007</v>
      </c>
      <c r="L7" s="102">
        <f>+B7-C7</f>
        <v>11250230.629999999</v>
      </c>
    </row>
    <row r="8" spans="1:12" ht="16.5">
      <c r="A8" s="156" t="s">
        <v>20</v>
      </c>
      <c r="B8" s="100">
        <f>+SAS!P13+SAS!Q13</f>
        <v>29989833</v>
      </c>
      <c r="C8" s="100">
        <f aca="true" t="shared" si="0" ref="C8:C15">SUM(E8:K8)</f>
        <v>4875788.22</v>
      </c>
      <c r="D8" s="101">
        <f aca="true" t="shared" si="1" ref="D8:D15">+C8/B8</f>
        <v>0.16258137282725116</v>
      </c>
      <c r="E8" s="100">
        <f>+SAS!C13</f>
        <v>2306802.8899999997</v>
      </c>
      <c r="F8" s="100">
        <f>+SAS!E13</f>
        <v>10452.730000000001</v>
      </c>
      <c r="G8" s="100">
        <f>+SAS!G13</f>
        <v>1003410.49</v>
      </c>
      <c r="H8" s="100">
        <f>+SAS!I13</f>
        <v>630046.21</v>
      </c>
      <c r="I8" s="100">
        <f>+SAS!K13</f>
        <v>2402.52</v>
      </c>
      <c r="J8" s="100">
        <f>+SAS!M13</f>
        <v>4101</v>
      </c>
      <c r="K8" s="100">
        <f>+SAS!O13</f>
        <v>918572.38</v>
      </c>
      <c r="L8" s="102">
        <f aca="true" t="shared" si="2" ref="L8:L15">+B8-C8</f>
        <v>25114044.78</v>
      </c>
    </row>
    <row r="9" spans="1:12" ht="16.5">
      <c r="A9" s="156" t="s">
        <v>18</v>
      </c>
      <c r="B9" s="100">
        <f>+SOP!P12+SOP!Q12</f>
        <v>43027125</v>
      </c>
      <c r="C9" s="100">
        <f t="shared" si="0"/>
        <v>5061406.26</v>
      </c>
      <c r="D9" s="101">
        <f t="shared" si="1"/>
        <v>0.11763291783961861</v>
      </c>
      <c r="E9" s="100">
        <f>+SOP!C12</f>
        <v>1152141.01</v>
      </c>
      <c r="F9" s="100">
        <f>+SOP!E12</f>
        <v>37487.93</v>
      </c>
      <c r="G9" s="100">
        <f>+SOP!G12</f>
        <v>258653.27000000002</v>
      </c>
      <c r="H9" s="100">
        <f>+SOP!I12</f>
        <v>350550</v>
      </c>
      <c r="I9" s="100">
        <f>+SOP!K12</f>
        <v>144</v>
      </c>
      <c r="J9" s="100">
        <f>+SOP!M12</f>
        <v>1257372.2</v>
      </c>
      <c r="K9" s="100">
        <f>+SOP!O12</f>
        <v>2005057.85</v>
      </c>
      <c r="L9" s="102">
        <f t="shared" si="2"/>
        <v>37965718.74</v>
      </c>
    </row>
    <row r="10" spans="1:12" ht="16.5">
      <c r="A10" s="156" t="s">
        <v>86</v>
      </c>
      <c r="B10" s="100">
        <f>+SFOI!P13+SFOI!Q13</f>
        <v>27563228</v>
      </c>
      <c r="C10" s="100">
        <f t="shared" si="0"/>
        <v>6895655.359999999</v>
      </c>
      <c r="D10" s="101">
        <f t="shared" si="1"/>
        <v>0.2501758995717047</v>
      </c>
      <c r="E10" s="100">
        <f>+SFOI!C13</f>
        <v>2837363.17</v>
      </c>
      <c r="F10" s="100">
        <f>+SFOI!E13</f>
        <v>71013.93</v>
      </c>
      <c r="G10" s="100">
        <f>+SFOI!G13</f>
        <v>1715416.32</v>
      </c>
      <c r="H10" s="100">
        <f>+SFOI!I13</f>
        <v>0</v>
      </c>
      <c r="I10" s="100">
        <f>+SFOI!K13</f>
        <v>60260.02</v>
      </c>
      <c r="J10" s="100">
        <f>+SFOI!M13</f>
        <v>908.14</v>
      </c>
      <c r="K10" s="100">
        <f>+SFOI!O13</f>
        <v>2210693.78</v>
      </c>
      <c r="L10" s="102">
        <f t="shared" si="2"/>
        <v>20667572.64</v>
      </c>
    </row>
    <row r="11" spans="1:12" ht="16.5">
      <c r="A11" s="156" t="s">
        <v>21</v>
      </c>
      <c r="B11" s="100">
        <f>+'CD'!P11+'CD'!Q11</f>
        <v>2902727</v>
      </c>
      <c r="C11" s="100">
        <f t="shared" si="0"/>
        <v>591485.01</v>
      </c>
      <c r="D11" s="101">
        <f t="shared" si="1"/>
        <v>0.20376873539950535</v>
      </c>
      <c r="E11" s="100">
        <f>+'CD'!C11</f>
        <v>415442.47000000003</v>
      </c>
      <c r="F11" s="100">
        <f>+'CD'!E11</f>
        <v>0</v>
      </c>
      <c r="G11" s="100">
        <f>+'CD'!G11</f>
        <v>964.25</v>
      </c>
      <c r="H11" s="100">
        <f>+'CD'!I11</f>
        <v>70009.6</v>
      </c>
      <c r="I11" s="100">
        <f>+'CD'!K11</f>
        <v>0</v>
      </c>
      <c r="J11" s="100">
        <f>+'CD'!M11</f>
        <v>0</v>
      </c>
      <c r="K11" s="100">
        <f>+'CD'!O11</f>
        <v>105068.69</v>
      </c>
      <c r="L11" s="102">
        <f t="shared" si="2"/>
        <v>2311241.99</v>
      </c>
    </row>
    <row r="12" spans="1:12" ht="16.5">
      <c r="A12" s="156" t="s">
        <v>22</v>
      </c>
      <c r="B12" s="100">
        <f>+'CM'!N12+'CM'!O12</f>
        <v>725929</v>
      </c>
      <c r="C12" s="100">
        <f t="shared" si="0"/>
        <v>249013.93</v>
      </c>
      <c r="D12" s="101">
        <f t="shared" si="1"/>
        <v>0.3430279407490264</v>
      </c>
      <c r="E12" s="100">
        <f>+'CM'!C12</f>
        <v>198533.47999999998</v>
      </c>
      <c r="F12" s="100">
        <f>+'CM'!E12</f>
        <v>0</v>
      </c>
      <c r="G12" s="100">
        <f>+'CM'!G12</f>
        <v>15329.279999999999</v>
      </c>
      <c r="H12" s="100">
        <f>+'CM'!I12</f>
        <v>0</v>
      </c>
      <c r="I12" s="100">
        <f>+'CM'!K12</f>
        <v>0</v>
      </c>
      <c r="J12" s="100">
        <v>0</v>
      </c>
      <c r="K12" s="100">
        <f>+'CM'!M12</f>
        <v>35151.17</v>
      </c>
      <c r="L12" s="102">
        <f t="shared" si="2"/>
        <v>476915.07</v>
      </c>
    </row>
    <row r="13" spans="1:12" ht="16.5">
      <c r="A13" s="156" t="s">
        <v>19</v>
      </c>
      <c r="B13" s="100">
        <f>+SSP!P13+SSP!Q13</f>
        <v>49592979</v>
      </c>
      <c r="C13" s="100">
        <f t="shared" si="0"/>
        <v>9882163.080000002</v>
      </c>
      <c r="D13" s="101">
        <f t="shared" si="1"/>
        <v>0.19926536536552888</v>
      </c>
      <c r="E13" s="100">
        <f>+SSP!C13</f>
        <v>5259240.62</v>
      </c>
      <c r="F13" s="100">
        <f>+SSP!E13</f>
        <v>618319.27</v>
      </c>
      <c r="G13" s="100">
        <f>+SSP!G13</f>
        <v>2244345.45</v>
      </c>
      <c r="H13" s="100">
        <f>+SSP!I13</f>
        <v>22770.74</v>
      </c>
      <c r="I13" s="100">
        <f>+SSP!K13</f>
        <v>72736.22</v>
      </c>
      <c r="J13" s="100">
        <f>+SSP!M13</f>
        <v>120530.98</v>
      </c>
      <c r="K13" s="100">
        <f>+SSP!O13</f>
        <v>1544219.8000000003</v>
      </c>
      <c r="L13" s="102">
        <f t="shared" si="2"/>
        <v>39710815.92</v>
      </c>
    </row>
    <row r="14" spans="1:12" ht="16.5">
      <c r="A14" s="156" t="s">
        <v>119</v>
      </c>
      <c r="B14" s="100">
        <f>+CULTURA!P10+CULTURA!Q10</f>
        <v>5844393</v>
      </c>
      <c r="C14" s="100">
        <f t="shared" si="0"/>
        <v>1915622.51</v>
      </c>
      <c r="D14" s="101">
        <f t="shared" si="1"/>
        <v>0.32777099520857</v>
      </c>
      <c r="E14" s="100">
        <f>+CULTURA!C10</f>
        <v>493331.36</v>
      </c>
      <c r="F14" s="100">
        <f>+CULTURA!E10</f>
        <v>2918.63</v>
      </c>
      <c r="G14" s="100">
        <f>+CULTURA!G10</f>
        <v>187840.56</v>
      </c>
      <c r="H14" s="100">
        <f>+CULTURA!I10</f>
        <v>1091313.65</v>
      </c>
      <c r="I14" s="100">
        <f>+CULTURA!K10</f>
        <v>0</v>
      </c>
      <c r="J14" s="100">
        <f>+CULTURA!M10</f>
        <v>0</v>
      </c>
      <c r="K14" s="100">
        <f>+CULTURA!O10</f>
        <v>140218.31</v>
      </c>
      <c r="L14" s="102">
        <f t="shared" si="2"/>
        <v>3928770.49</v>
      </c>
    </row>
    <row r="15" spans="1:12" ht="16.5">
      <c r="A15" s="156" t="s">
        <v>120</v>
      </c>
      <c r="B15" s="100">
        <f>+DEPORTES!P12+DEPORTES!Q12</f>
        <v>6880829</v>
      </c>
      <c r="C15" s="100">
        <f t="shared" si="0"/>
        <v>1077851.03</v>
      </c>
      <c r="D15" s="101">
        <f t="shared" si="1"/>
        <v>0.15664551902103657</v>
      </c>
      <c r="E15" s="100">
        <f>+DEPORTES!C12</f>
        <v>511397.47</v>
      </c>
      <c r="F15" s="100">
        <f>+DEPORTES!E12</f>
        <v>2563.28</v>
      </c>
      <c r="G15" s="100">
        <f>+DEPORTES!G12</f>
        <v>279717.73</v>
      </c>
      <c r="H15" s="100">
        <f>+DEPORTES!I12</f>
        <v>132092</v>
      </c>
      <c r="I15" s="100">
        <f>+DEPORTES!K12</f>
        <v>0</v>
      </c>
      <c r="J15" s="100">
        <f>+DEPORTES!M12</f>
        <v>0</v>
      </c>
      <c r="K15" s="100">
        <f>+DEPORTES!O12</f>
        <v>152080.55</v>
      </c>
      <c r="L15" s="102">
        <f t="shared" si="2"/>
        <v>5802977.97</v>
      </c>
    </row>
    <row r="16" spans="1:12" ht="17.25">
      <c r="A16" s="16" t="s">
        <v>11</v>
      </c>
      <c r="B16" s="11">
        <f>SUM(B5:B15)</f>
        <v>205073414</v>
      </c>
      <c r="C16" s="11">
        <f>SUM(C5:C15)</f>
        <v>38038982.39</v>
      </c>
      <c r="D16" s="12">
        <f>+C16/B16</f>
        <v>0.18548958467137042</v>
      </c>
      <c r="E16" s="11">
        <f aca="true" t="shared" si="3" ref="E16:L16">SUM(E5:E15)</f>
        <v>16341199.26</v>
      </c>
      <c r="F16" s="11">
        <f t="shared" si="3"/>
        <v>1361031.15</v>
      </c>
      <c r="G16" s="11">
        <f t="shared" si="3"/>
        <v>7237223.83</v>
      </c>
      <c r="H16" s="11">
        <f t="shared" si="3"/>
        <v>2998230.73</v>
      </c>
      <c r="I16" s="11">
        <f t="shared" si="3"/>
        <v>316933.15</v>
      </c>
      <c r="J16" s="11">
        <f t="shared" si="3"/>
        <v>1486576.4599999997</v>
      </c>
      <c r="K16" s="11">
        <f t="shared" si="3"/>
        <v>8297787.8100000005</v>
      </c>
      <c r="L16" s="18">
        <f t="shared" si="3"/>
        <v>167034431.60999998</v>
      </c>
    </row>
    <row r="17" spans="1:12" ht="18" thickBot="1">
      <c r="A17" s="15" t="s">
        <v>51</v>
      </c>
      <c r="B17" s="6"/>
      <c r="C17" s="7"/>
      <c r="D17" s="8"/>
      <c r="E17" s="13">
        <f>+E16/100020753</f>
        <v>0.16337808674565768</v>
      </c>
      <c r="F17" s="14">
        <f>+F16/8041736</f>
        <v>0.16924593769305532</v>
      </c>
      <c r="G17" s="14">
        <f>+G16/34644277</f>
        <v>0.20890099193006684</v>
      </c>
      <c r="H17" s="14">
        <f>+H16/12354215</f>
        <v>0.2426888903908504</v>
      </c>
      <c r="I17" s="14">
        <f>+I16/7936243</f>
        <v>0.03993491000716586</v>
      </c>
      <c r="J17" s="14">
        <f>+J16/31946190</f>
        <v>0.04653376380720204</v>
      </c>
      <c r="K17" s="14">
        <f>+K16/10130000</f>
        <v>0.8191300898321817</v>
      </c>
      <c r="L17" s="9"/>
    </row>
    <row r="18" spans="2:12" ht="17.25" thickTop="1">
      <c r="B18" s="5"/>
      <c r="C18" s="51"/>
      <c r="D18" s="5"/>
      <c r="E18" s="77"/>
      <c r="F18" s="77"/>
      <c r="G18" s="77"/>
      <c r="H18" s="77"/>
      <c r="I18" s="77"/>
      <c r="J18" s="77"/>
      <c r="K18" s="77"/>
      <c r="L18" s="5"/>
    </row>
    <row r="19" spans="8:11" ht="16.5">
      <c r="H19" s="5"/>
      <c r="I19" s="5"/>
      <c r="J19" s="5"/>
      <c r="K19" s="126" t="s">
        <v>52</v>
      </c>
    </row>
    <row r="20" ht="16.5">
      <c r="K20" s="127" t="s">
        <v>53</v>
      </c>
    </row>
    <row r="21" ht="16.5">
      <c r="K21" s="126"/>
    </row>
    <row r="22" ht="16.5">
      <c r="K22" s="150" t="s">
        <v>54</v>
      </c>
    </row>
    <row r="23" ht="16.5">
      <c r="K23" s="126"/>
    </row>
    <row r="24" ht="16.5">
      <c r="K24" s="128" t="s">
        <v>55</v>
      </c>
    </row>
    <row r="25" ht="16.5">
      <c r="K25" s="126"/>
    </row>
    <row r="26" ht="16.5">
      <c r="K26" s="133" t="s">
        <v>56</v>
      </c>
    </row>
    <row r="27" ht="16.5">
      <c r="K27" s="126"/>
    </row>
    <row r="28" ht="16.5">
      <c r="K28" s="129" t="s">
        <v>57</v>
      </c>
    </row>
    <row r="29" ht="16.5">
      <c r="K29" s="126"/>
    </row>
    <row r="30" ht="16.5">
      <c r="K30" s="130" t="s">
        <v>58</v>
      </c>
    </row>
    <row r="31" ht="16.5">
      <c r="K31" s="126"/>
    </row>
    <row r="32" ht="16.5">
      <c r="K32" s="131" t="s">
        <v>59</v>
      </c>
    </row>
    <row r="33" ht="16.5">
      <c r="K33" s="126"/>
    </row>
    <row r="34" ht="16.5">
      <c r="K34" s="132" t="s">
        <v>60</v>
      </c>
    </row>
    <row r="60" spans="5:13" ht="16.5">
      <c r="E60" s="1" t="s">
        <v>60</v>
      </c>
      <c r="F60" s="1" t="s">
        <v>59</v>
      </c>
      <c r="G60" s="1" t="s">
        <v>58</v>
      </c>
      <c r="H60" s="1" t="s">
        <v>61</v>
      </c>
      <c r="I60" s="1" t="s">
        <v>62</v>
      </c>
      <c r="J60" s="1" t="s">
        <v>63</v>
      </c>
      <c r="K60" s="1" t="s">
        <v>54</v>
      </c>
      <c r="L60" s="1" t="s">
        <v>64</v>
      </c>
      <c r="M60" s="1" t="s">
        <v>65</v>
      </c>
    </row>
    <row r="61" spans="1:13" ht="16.5">
      <c r="A61" s="1" t="s">
        <v>66</v>
      </c>
      <c r="E61" s="10">
        <f>+E5/B5</f>
        <v>0.06217596077104724</v>
      </c>
      <c r="F61" s="10">
        <f aca="true" t="shared" si="4" ref="F61:L61">+F5/$B$5</f>
        <v>0.0008999086531240015</v>
      </c>
      <c r="G61" s="10">
        <f t="shared" si="4"/>
        <v>0.01890116668032038</v>
      </c>
      <c r="H61" s="10">
        <f t="shared" si="4"/>
        <v>0.03387175698639958</v>
      </c>
      <c r="I61" s="10">
        <f t="shared" si="4"/>
        <v>0.01617940756757805</v>
      </c>
      <c r="J61" s="10">
        <f t="shared" si="4"/>
        <v>0.0014394481731483419</v>
      </c>
      <c r="K61" s="10">
        <f t="shared" si="4"/>
        <v>0.02132761264641587</v>
      </c>
      <c r="L61" s="10">
        <f t="shared" si="4"/>
        <v>0.8452047385219665</v>
      </c>
      <c r="M61" s="10">
        <f>SUM(E61:L61)</f>
        <v>1</v>
      </c>
    </row>
    <row r="62" spans="1:13" ht="16.5">
      <c r="A62" s="1" t="s">
        <v>93</v>
      </c>
      <c r="E62" s="10">
        <f>+E6/B6</f>
        <v>0.0951271411263713</v>
      </c>
      <c r="F62" s="10">
        <f>+F6/B6</f>
        <v>0.0014630568333502843</v>
      </c>
      <c r="G62" s="10">
        <f>+G6/B6</f>
        <v>0.06500314766490992</v>
      </c>
      <c r="H62" s="10">
        <f>+H6/B6</f>
        <v>0.02461200164801181</v>
      </c>
      <c r="I62" s="10">
        <f>+I6/B6</f>
        <v>0.001164974814983517</v>
      </c>
      <c r="J62" s="10">
        <f>+J6/B6</f>
        <v>0.006010587312930729</v>
      </c>
      <c r="K62" s="10">
        <f>+K6/B6</f>
        <v>0.03767250195229169</v>
      </c>
      <c r="L62" s="10">
        <f>+L6/B6</f>
        <v>0.7689465886471508</v>
      </c>
      <c r="M62" s="10">
        <f>SUM(E62:L62)</f>
        <v>1</v>
      </c>
    </row>
    <row r="63" spans="1:13" ht="16.5">
      <c r="A63" s="1" t="s">
        <v>94</v>
      </c>
      <c r="E63" s="10">
        <f>+E7/B7</f>
        <v>0.08251662141700489</v>
      </c>
      <c r="F63" s="10">
        <f>+F7/B7</f>
        <v>0.04267064987625481</v>
      </c>
      <c r="G63" s="10">
        <f>+G7/B7</f>
        <v>0.02740891361815724</v>
      </c>
      <c r="H63" s="10">
        <f>+H7/B7</f>
        <v>0</v>
      </c>
      <c r="I63" s="10">
        <f>+I7/B7</f>
        <v>0.00028248511670157306</v>
      </c>
      <c r="J63" s="10">
        <f>+J7/B7</f>
        <v>0</v>
      </c>
      <c r="K63" s="10">
        <f>+K7/B7</f>
        <v>0.030148910322739614</v>
      </c>
      <c r="L63" s="10">
        <f>+L7/B7</f>
        <v>0.8169724196491418</v>
      </c>
      <c r="M63" s="10">
        <f>SUM(E63:L63)</f>
        <v>0.9999999999999999</v>
      </c>
    </row>
    <row r="64" spans="1:13" ht="16.5">
      <c r="A64" s="1" t="s">
        <v>67</v>
      </c>
      <c r="E64" s="10">
        <f aca="true" t="shared" si="5" ref="E64:L64">+E8/$B$8</f>
        <v>0.0769194976844319</v>
      </c>
      <c r="F64" s="10">
        <f t="shared" si="5"/>
        <v>0.00034854245437111975</v>
      </c>
      <c r="G64" s="10">
        <f t="shared" si="5"/>
        <v>0.03345835536996822</v>
      </c>
      <c r="H64" s="10">
        <f t="shared" si="5"/>
        <v>0.021008660168264356</v>
      </c>
      <c r="I64" s="10">
        <f t="shared" si="5"/>
        <v>8.011114966862269E-05</v>
      </c>
      <c r="J64" s="10">
        <f t="shared" si="5"/>
        <v>0.00013674634333575648</v>
      </c>
      <c r="K64" s="10">
        <f t="shared" si="5"/>
        <v>0.03062945965721116</v>
      </c>
      <c r="L64" s="10">
        <f t="shared" si="5"/>
        <v>0.8374186271727488</v>
      </c>
      <c r="M64" s="10">
        <f aca="true" t="shared" si="6" ref="M64:M71">SUM(E64:L64)</f>
        <v>1</v>
      </c>
    </row>
    <row r="65" spans="1:13" ht="16.5">
      <c r="A65" s="1" t="s">
        <v>68</v>
      </c>
      <c r="E65" s="10">
        <f>+E9/$B$9</f>
        <v>0.026777085617502912</v>
      </c>
      <c r="F65" s="10">
        <f aca="true" t="shared" si="7" ref="F65:L65">+F9/$B$9</f>
        <v>0.0008712627208998974</v>
      </c>
      <c r="G65" s="10">
        <f t="shared" si="7"/>
        <v>0.006011400250423425</v>
      </c>
      <c r="H65" s="10">
        <f t="shared" si="7"/>
        <v>0.008147186222644437</v>
      </c>
      <c r="I65" s="10">
        <f t="shared" si="7"/>
        <v>3.346726047812862E-06</v>
      </c>
      <c r="J65" s="10">
        <f t="shared" si="7"/>
        <v>0.02922277981622058</v>
      </c>
      <c r="K65" s="10">
        <f t="shared" si="7"/>
        <v>0.04659985648587955</v>
      </c>
      <c r="L65" s="10">
        <f t="shared" si="7"/>
        <v>0.8823670821603814</v>
      </c>
      <c r="M65" s="10">
        <f t="shared" si="6"/>
        <v>1</v>
      </c>
    </row>
    <row r="66" spans="1:13" ht="16.5">
      <c r="A66" s="1" t="s">
        <v>71</v>
      </c>
      <c r="E66" s="10">
        <f>+E10/$B$10</f>
        <v>0.10294016252377987</v>
      </c>
      <c r="F66" s="10">
        <f aca="true" t="shared" si="8" ref="F66:L66">+F10/$B$10</f>
        <v>0.0025764010659419133</v>
      </c>
      <c r="G66" s="10">
        <f t="shared" si="8"/>
        <v>0.06223568299039576</v>
      </c>
      <c r="H66" s="10">
        <f t="shared" si="8"/>
        <v>0</v>
      </c>
      <c r="I66" s="10">
        <f t="shared" si="8"/>
        <v>0.002186246835820536</v>
      </c>
      <c r="J66" s="10">
        <f t="shared" si="8"/>
        <v>3.2947519789772085E-05</v>
      </c>
      <c r="K66" s="10">
        <f t="shared" si="8"/>
        <v>0.08020445863597689</v>
      </c>
      <c r="L66" s="10">
        <f t="shared" si="8"/>
        <v>0.7498241004282953</v>
      </c>
      <c r="M66" s="10">
        <f t="shared" si="6"/>
        <v>1</v>
      </c>
    </row>
    <row r="67" spans="1:13" ht="16.5">
      <c r="A67" s="1" t="s">
        <v>69</v>
      </c>
      <c r="E67" s="10">
        <f>+E11/$B$11</f>
        <v>0.14312144063151652</v>
      </c>
      <c r="F67" s="10">
        <f aca="true" t="shared" si="9" ref="F67:L67">+F11/$B$11</f>
        <v>0</v>
      </c>
      <c r="G67" s="10">
        <f t="shared" si="9"/>
        <v>0.0003321876290812054</v>
      </c>
      <c r="H67" s="10">
        <f t="shared" si="9"/>
        <v>0.024118561614647194</v>
      </c>
      <c r="I67" s="10">
        <f t="shared" si="9"/>
        <v>0</v>
      </c>
      <c r="J67" s="10">
        <f t="shared" si="9"/>
        <v>0</v>
      </c>
      <c r="K67" s="10">
        <f t="shared" si="9"/>
        <v>0.036196545524260465</v>
      </c>
      <c r="L67" s="10">
        <f t="shared" si="9"/>
        <v>0.7962312646004948</v>
      </c>
      <c r="M67" s="10">
        <f t="shared" si="6"/>
        <v>1.0000000000000002</v>
      </c>
    </row>
    <row r="68" spans="1:13" ht="16.5">
      <c r="A68" s="1" t="s">
        <v>97</v>
      </c>
      <c r="E68" s="10">
        <f>+E12/$B$12</f>
        <v>0.2734888398176681</v>
      </c>
      <c r="F68" s="10">
        <f aca="true" t="shared" si="10" ref="F68:L68">+F12/$B$12</f>
        <v>0</v>
      </c>
      <c r="G68" s="10">
        <f t="shared" si="10"/>
        <v>0.0211167758830409</v>
      </c>
      <c r="H68" s="10">
        <f t="shared" si="10"/>
        <v>0</v>
      </c>
      <c r="I68" s="10">
        <f t="shared" si="10"/>
        <v>0</v>
      </c>
      <c r="J68" s="10">
        <f t="shared" si="10"/>
        <v>0</v>
      </c>
      <c r="K68" s="10">
        <f t="shared" si="10"/>
        <v>0.048422325048317394</v>
      </c>
      <c r="L68" s="10">
        <f t="shared" si="10"/>
        <v>0.6569720592509736</v>
      </c>
      <c r="M68" s="10">
        <f t="shared" si="6"/>
        <v>1</v>
      </c>
    </row>
    <row r="69" spans="1:13" ht="16.5">
      <c r="A69" s="1" t="s">
        <v>72</v>
      </c>
      <c r="E69" s="10">
        <f>+E13/$B$13</f>
        <v>0.10604808837960712</v>
      </c>
      <c r="F69" s="10">
        <f aca="true" t="shared" si="11" ref="F69:L69">+F13/$B$13</f>
        <v>0.012467879172977288</v>
      </c>
      <c r="G69" s="10">
        <f t="shared" si="11"/>
        <v>0.04525530619969412</v>
      </c>
      <c r="H69" s="10">
        <f t="shared" si="11"/>
        <v>0.00045915249414639925</v>
      </c>
      <c r="I69" s="10">
        <f t="shared" si="11"/>
        <v>0.0014666636581762915</v>
      </c>
      <c r="J69" s="10">
        <f t="shared" si="11"/>
        <v>0.002430404110226974</v>
      </c>
      <c r="K69" s="10">
        <f t="shared" si="11"/>
        <v>0.031137871350700678</v>
      </c>
      <c r="L69" s="10">
        <f t="shared" si="11"/>
        <v>0.8007346346344711</v>
      </c>
      <c r="M69" s="10">
        <f t="shared" si="6"/>
        <v>1</v>
      </c>
    </row>
    <row r="70" spans="1:13" ht="16.5">
      <c r="A70" s="1" t="s">
        <v>73</v>
      </c>
      <c r="E70" s="10">
        <f>+E14/$B$14</f>
        <v>0.08441105175507534</v>
      </c>
      <c r="F70" s="10">
        <f aca="true" t="shared" si="12" ref="F70:L70">+F14/$B$14</f>
        <v>0.0004993897569858837</v>
      </c>
      <c r="G70" s="10">
        <f t="shared" si="12"/>
        <v>0.03214030267985058</v>
      </c>
      <c r="H70" s="10">
        <f t="shared" si="12"/>
        <v>0.18672831378724872</v>
      </c>
      <c r="I70" s="10">
        <f t="shared" si="12"/>
        <v>0</v>
      </c>
      <c r="J70" s="10">
        <f t="shared" si="12"/>
        <v>0</v>
      </c>
      <c r="K70" s="10">
        <f t="shared" si="12"/>
        <v>0.02399193722940945</v>
      </c>
      <c r="L70" s="10">
        <f t="shared" si="12"/>
        <v>0.67222900479143</v>
      </c>
      <c r="M70" s="10">
        <f t="shared" si="6"/>
        <v>1</v>
      </c>
    </row>
    <row r="71" spans="1:13" ht="16.5">
      <c r="A71" s="1" t="s">
        <v>70</v>
      </c>
      <c r="E71" s="10">
        <f>+E15/$B$15</f>
        <v>0.07432207223867937</v>
      </c>
      <c r="F71" s="10">
        <f aca="true" t="shared" si="13" ref="F71:L71">+F15/$B$15</f>
        <v>0.0003725248803596195</v>
      </c>
      <c r="G71" s="10">
        <f t="shared" si="13"/>
        <v>0.04065174850297835</v>
      </c>
      <c r="H71" s="10">
        <f t="shared" si="13"/>
        <v>0.019197105465053703</v>
      </c>
      <c r="I71" s="10">
        <f t="shared" si="13"/>
        <v>0</v>
      </c>
      <c r="J71" s="10">
        <f t="shared" si="13"/>
        <v>0</v>
      </c>
      <c r="K71" s="10">
        <f t="shared" si="13"/>
        <v>0.022102067933965512</v>
      </c>
      <c r="L71" s="10">
        <f t="shared" si="13"/>
        <v>0.8433544809789634</v>
      </c>
      <c r="M71" s="10">
        <f t="shared" si="6"/>
        <v>1</v>
      </c>
    </row>
  </sheetData>
  <sheetProtection/>
  <mergeCells count="1">
    <mergeCell ref="E3:K3"/>
  </mergeCells>
  <printOptions horizontalCentered="1"/>
  <pageMargins left="0.7480314960629921" right="0.2362204724409449" top="0.7480314960629921" bottom="0.2362204724409449" header="0.3937007874015748" footer="0"/>
  <pageSetup horizontalDpi="600" verticalDpi="600" orientation="landscape" paperSize="5" r:id="rId2"/>
  <headerFooter alignWithMargins="0">
    <oddHeader>&amp;C&amp;"Palatino Linotype,Negrita"&amp;8CONTADURIA MUNICIPAL&amp;"Garamond,Normal"&amp;11
&amp;"Haettenschweiler,Normal"&amp;9Presupuesto vs. Ejecución Presupuestaria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77"/>
  <sheetViews>
    <sheetView zoomScalePageLayoutView="0" workbookViewId="0" topLeftCell="A1">
      <selection activeCell="P21" sqref="P21"/>
    </sheetView>
  </sheetViews>
  <sheetFormatPr defaultColWidth="11.421875" defaultRowHeight="15"/>
  <cols>
    <col min="1" max="1" width="18.7109375" style="1" customWidth="1"/>
    <col min="2" max="2" width="9.57421875" style="1" customWidth="1"/>
    <col min="3" max="3" width="12.57421875" style="1" customWidth="1"/>
    <col min="4" max="4" width="7.7109375" style="1" customWidth="1"/>
    <col min="5" max="5" width="9.421875" style="1" customWidth="1"/>
    <col min="6" max="6" width="9.28125" style="1" customWidth="1"/>
    <col min="7" max="7" width="10.8515625" style="1" customWidth="1"/>
    <col min="8" max="8" width="7.7109375" style="1" customWidth="1"/>
    <col min="9" max="9" width="10.7109375" style="1" customWidth="1"/>
    <col min="10" max="10" width="8.421875" style="1" customWidth="1"/>
    <col min="11" max="11" width="10.8515625" style="1" customWidth="1"/>
    <col min="12" max="12" width="7.8515625" style="1" customWidth="1"/>
    <col min="13" max="13" width="9.57421875" style="1" customWidth="1"/>
    <col min="14" max="14" width="7.8515625" style="1" customWidth="1"/>
    <col min="15" max="15" width="10.7109375" style="1" customWidth="1"/>
    <col min="16" max="16" width="12.57421875" style="1" customWidth="1"/>
    <col min="17" max="17" width="13.57421875" style="1" customWidth="1"/>
    <col min="18" max="18" width="11.421875" style="1" customWidth="1"/>
    <col min="19" max="19" width="13.8515625" style="1" bestFit="1" customWidth="1"/>
    <col min="20" max="16384" width="11.421875" style="1" customWidth="1"/>
  </cols>
  <sheetData>
    <row r="2" spans="1:15" ht="18">
      <c r="A2" s="144" t="s">
        <v>0</v>
      </c>
      <c r="B2" s="167" t="s">
        <v>104</v>
      </c>
      <c r="C2" s="167"/>
      <c r="D2" s="172"/>
      <c r="E2" s="172"/>
      <c r="I2" s="20" t="s">
        <v>23</v>
      </c>
      <c r="J2" s="20"/>
      <c r="K2" s="149">
        <v>41306</v>
      </c>
      <c r="L2" s="120"/>
      <c r="M2" s="120"/>
      <c r="O2" s="19"/>
    </row>
    <row r="3" spans="2:4" ht="6.75" customHeight="1">
      <c r="B3" s="173"/>
      <c r="C3" s="173"/>
      <c r="D3" s="66"/>
    </row>
    <row r="4" ht="17.25" thickBot="1"/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174" t="s">
        <v>4</v>
      </c>
      <c r="I5" s="175"/>
      <c r="J5" s="174" t="s">
        <v>32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9" ht="17.25">
      <c r="A7" s="30" t="s">
        <v>14</v>
      </c>
      <c r="B7" s="67">
        <v>1587422</v>
      </c>
      <c r="C7" s="32">
        <f>60676.61+258297.76+6119.81+4810.78</f>
        <v>329904.96</v>
      </c>
      <c r="D7" s="67">
        <v>31000</v>
      </c>
      <c r="E7" s="32">
        <f>1414.53+4637.77</f>
        <v>6052.3</v>
      </c>
      <c r="F7" s="67">
        <v>899025</v>
      </c>
      <c r="G7" s="32">
        <f>125414.15+195575.52</f>
        <v>320989.67</v>
      </c>
      <c r="H7" s="67">
        <v>534660</v>
      </c>
      <c r="I7" s="32">
        <f>34398.05+79144.98</f>
        <v>113543.03</v>
      </c>
      <c r="J7" s="67">
        <v>13500</v>
      </c>
      <c r="K7" s="32">
        <v>1059</v>
      </c>
      <c r="L7" s="67">
        <v>0</v>
      </c>
      <c r="M7" s="32">
        <v>0</v>
      </c>
      <c r="N7" s="67">
        <v>700000</v>
      </c>
      <c r="O7" s="32">
        <v>215474.94</v>
      </c>
      <c r="P7" s="33">
        <f>+O7+K7+I7+G7+E7+C7+M7</f>
        <v>987023.8999999999</v>
      </c>
      <c r="Q7" s="33">
        <f>+B7+D7+F7+H7+J7+N7-P7+L7</f>
        <v>2778583.1</v>
      </c>
      <c r="S7" s="5"/>
    </row>
    <row r="8" spans="1:19" ht="17.25">
      <c r="A8" s="30" t="s">
        <v>128</v>
      </c>
      <c r="B8" s="67">
        <v>213552</v>
      </c>
      <c r="C8" s="32">
        <f>20659.14+26057.84</f>
        <v>46716.979999999996</v>
      </c>
      <c r="D8" s="67">
        <v>3000</v>
      </c>
      <c r="E8" s="32">
        <v>0</v>
      </c>
      <c r="F8" s="67">
        <v>33000</v>
      </c>
      <c r="G8" s="32">
        <v>139.34</v>
      </c>
      <c r="H8" s="67">
        <v>10500</v>
      </c>
      <c r="I8" s="32">
        <v>0</v>
      </c>
      <c r="J8" s="67">
        <v>0</v>
      </c>
      <c r="K8" s="32">
        <v>0</v>
      </c>
      <c r="L8" s="67">
        <v>0</v>
      </c>
      <c r="M8" s="32">
        <v>0</v>
      </c>
      <c r="N8" s="67">
        <v>0</v>
      </c>
      <c r="O8" s="36">
        <v>0</v>
      </c>
      <c r="P8" s="33">
        <f>+O8+K8+I8+G8+E8+C8+M8</f>
        <v>46856.31999999999</v>
      </c>
      <c r="Q8" s="33">
        <f>+B8+D8+F8+H8+J8+N8-P8</f>
        <v>213195.68</v>
      </c>
      <c r="S8" s="5"/>
    </row>
    <row r="9" spans="1:19" ht="17.25">
      <c r="A9" s="30" t="s">
        <v>129</v>
      </c>
      <c r="B9" s="67">
        <v>364780</v>
      </c>
      <c r="C9" s="32">
        <f>25050.87+39470.63</f>
        <v>64521.5</v>
      </c>
      <c r="D9" s="67">
        <v>16000</v>
      </c>
      <c r="E9" s="32">
        <v>0</v>
      </c>
      <c r="F9" s="67">
        <v>15000</v>
      </c>
      <c r="G9" s="32">
        <v>122.67</v>
      </c>
      <c r="H9" s="67">
        <v>0</v>
      </c>
      <c r="I9" s="32">
        <v>0</v>
      </c>
      <c r="J9" s="67">
        <v>8000</v>
      </c>
      <c r="K9" s="32">
        <v>0</v>
      </c>
      <c r="L9" s="67">
        <v>0</v>
      </c>
      <c r="M9" s="32">
        <v>0</v>
      </c>
      <c r="N9" s="67">
        <v>0</v>
      </c>
      <c r="O9" s="36">
        <v>0</v>
      </c>
      <c r="P9" s="33">
        <f>+O9+K9+I9+G9+E9+C9+M9</f>
        <v>64644.17</v>
      </c>
      <c r="Q9" s="33">
        <f>+B9+D9+F9+H9+J9+N9-P9</f>
        <v>339135.83</v>
      </c>
      <c r="S9" s="5"/>
    </row>
    <row r="10" spans="1:17" ht="17.25">
      <c r="A10" s="30" t="s">
        <v>126</v>
      </c>
      <c r="B10" s="67">
        <v>0</v>
      </c>
      <c r="C10" s="32">
        <v>0</v>
      </c>
      <c r="D10" s="67">
        <v>5000</v>
      </c>
      <c r="E10" s="32">
        <v>0</v>
      </c>
      <c r="F10" s="67">
        <v>432400</v>
      </c>
      <c r="G10" s="32">
        <v>0</v>
      </c>
      <c r="H10" s="67">
        <v>0</v>
      </c>
      <c r="I10" s="32">
        <v>0</v>
      </c>
      <c r="J10" s="67">
        <v>3000</v>
      </c>
      <c r="K10" s="32">
        <v>0</v>
      </c>
      <c r="L10" s="67">
        <v>0</v>
      </c>
      <c r="M10" s="32">
        <v>0</v>
      </c>
      <c r="N10" s="67">
        <v>0</v>
      </c>
      <c r="O10" s="36">
        <v>0</v>
      </c>
      <c r="P10" s="33">
        <f>+O10+K10+I10+G10+E10+C10+M10</f>
        <v>0</v>
      </c>
      <c r="Q10" s="33">
        <f>+B10+D10+F10+H10+J10+N10-P10</f>
        <v>440400</v>
      </c>
    </row>
    <row r="11" spans="1:17" ht="17.25">
      <c r="A11" s="30" t="s">
        <v>83</v>
      </c>
      <c r="B11" s="67">
        <v>439349</v>
      </c>
      <c r="C11" s="32">
        <f>17939.55+30034.79</f>
        <v>47974.34</v>
      </c>
      <c r="D11" s="67">
        <v>0</v>
      </c>
      <c r="E11" s="32">
        <v>0</v>
      </c>
      <c r="F11" s="67">
        <v>20000</v>
      </c>
      <c r="G11" s="32">
        <f>6879.98+3235.55</f>
        <v>10115.529999999999</v>
      </c>
      <c r="H11" s="67">
        <v>0</v>
      </c>
      <c r="I11" s="32">
        <v>0</v>
      </c>
      <c r="J11" s="67">
        <v>0</v>
      </c>
      <c r="K11" s="32">
        <v>0</v>
      </c>
      <c r="L11" s="67">
        <v>0</v>
      </c>
      <c r="M11" s="32">
        <v>0</v>
      </c>
      <c r="N11" s="67">
        <v>0</v>
      </c>
      <c r="O11" s="36">
        <v>16805.43</v>
      </c>
      <c r="P11" s="33">
        <f>+O11+K11+I11+G11+E11+C11</f>
        <v>74895.29999999999</v>
      </c>
      <c r="Q11" s="33">
        <f>+B11+D11+F11+H11+J11+N11-P11</f>
        <v>384453.7</v>
      </c>
    </row>
    <row r="12" spans="1:17" ht="17.25">
      <c r="A12" s="30" t="s">
        <v>84</v>
      </c>
      <c r="B12" s="67">
        <v>634617</v>
      </c>
      <c r="C12" s="32">
        <f>29720.81+49524.91</f>
        <v>79245.72</v>
      </c>
      <c r="D12" s="67">
        <v>0</v>
      </c>
      <c r="E12" s="32">
        <v>0</v>
      </c>
      <c r="F12" s="67">
        <v>257000</v>
      </c>
      <c r="G12" s="32">
        <f>5000+103731.76</f>
        <v>108731.76</v>
      </c>
      <c r="H12" s="67">
        <v>0</v>
      </c>
      <c r="I12" s="32">
        <v>0</v>
      </c>
      <c r="J12" s="67">
        <v>30000</v>
      </c>
      <c r="K12" s="32">
        <v>0</v>
      </c>
      <c r="L12" s="67">
        <v>0</v>
      </c>
      <c r="M12" s="32">
        <v>0</v>
      </c>
      <c r="N12" s="67">
        <v>0</v>
      </c>
      <c r="O12" s="36">
        <v>27246.23</v>
      </c>
      <c r="P12" s="33">
        <f>+O12+K12+I12+G12+E12+C12+M12</f>
        <v>215223.71</v>
      </c>
      <c r="Q12" s="33">
        <f aca="true" t="shared" si="0" ref="Q12:Q17">+B12+D12+F12+H12+J12+N12-P12</f>
        <v>706393.29</v>
      </c>
    </row>
    <row r="13" spans="1:17" ht="17.25">
      <c r="A13" s="30" t="s">
        <v>74</v>
      </c>
      <c r="B13" s="67">
        <v>1273193</v>
      </c>
      <c r="C13" s="32">
        <f>33981.99+78227.43+22939.22+21633.04+7246.3+5021.78+1714.17+2851.99</f>
        <v>173615.91999999998</v>
      </c>
      <c r="D13" s="67">
        <v>12000</v>
      </c>
      <c r="E13" s="32">
        <v>0</v>
      </c>
      <c r="F13" s="67">
        <v>56933</v>
      </c>
      <c r="G13" s="32">
        <f>6470+4100+29.04</f>
        <v>10599.04</v>
      </c>
      <c r="H13" s="67">
        <v>0</v>
      </c>
      <c r="I13" s="32">
        <v>0</v>
      </c>
      <c r="J13" s="67">
        <v>6200</v>
      </c>
      <c r="K13" s="32">
        <v>0</v>
      </c>
      <c r="L13" s="67">
        <v>0</v>
      </c>
      <c r="M13" s="32">
        <v>0</v>
      </c>
      <c r="N13" s="67">
        <v>0</v>
      </c>
      <c r="O13" s="36">
        <v>58537.83</v>
      </c>
      <c r="P13" s="33">
        <f>+O13+K13+I13+G13+E13+C13+M13</f>
        <v>242752.78999999998</v>
      </c>
      <c r="Q13" s="33">
        <f t="shared" si="0"/>
        <v>1105573.21</v>
      </c>
    </row>
    <row r="14" spans="1:17" ht="17.25">
      <c r="A14" s="30" t="s">
        <v>105</v>
      </c>
      <c r="B14" s="67">
        <v>1473070</v>
      </c>
      <c r="C14" s="32">
        <f>76550.75+109542.24</f>
        <v>186092.99</v>
      </c>
      <c r="D14" s="67">
        <v>28000</v>
      </c>
      <c r="E14" s="32">
        <v>11900</v>
      </c>
      <c r="F14" s="67">
        <v>129300</v>
      </c>
      <c r="G14" s="32">
        <v>14429.48</v>
      </c>
      <c r="H14" s="67">
        <v>0</v>
      </c>
      <c r="I14" s="32">
        <v>0</v>
      </c>
      <c r="J14" s="67">
        <v>20100</v>
      </c>
      <c r="K14" s="32">
        <v>4195</v>
      </c>
      <c r="L14" s="67">
        <v>0</v>
      </c>
      <c r="M14" s="32">
        <v>0</v>
      </c>
      <c r="N14" s="67">
        <v>0</v>
      </c>
      <c r="O14" s="36">
        <v>76936.94</v>
      </c>
      <c r="P14" s="33">
        <f>+O14+K14+I14+G14+E14+C14+M14</f>
        <v>293554.41</v>
      </c>
      <c r="Q14" s="33">
        <f t="shared" si="0"/>
        <v>1356915.59</v>
      </c>
    </row>
    <row r="15" spans="1:17" ht="17.25">
      <c r="A15" s="30" t="s">
        <v>130</v>
      </c>
      <c r="B15" s="67">
        <v>756638</v>
      </c>
      <c r="C15" s="32">
        <f>45434.73+61361.44</f>
        <v>106796.17000000001</v>
      </c>
      <c r="D15" s="67">
        <v>7200</v>
      </c>
      <c r="E15" s="32">
        <v>0</v>
      </c>
      <c r="F15" s="67">
        <v>236217</v>
      </c>
      <c r="G15" s="32">
        <f>58.16+59291.33</f>
        <v>59349.490000000005</v>
      </c>
      <c r="H15" s="67">
        <v>0</v>
      </c>
      <c r="I15" s="32">
        <v>0</v>
      </c>
      <c r="J15" s="67">
        <v>5750</v>
      </c>
      <c r="K15" s="32">
        <v>12076.29</v>
      </c>
      <c r="L15" s="67">
        <v>0</v>
      </c>
      <c r="M15" s="32">
        <v>89414.14</v>
      </c>
      <c r="N15" s="67">
        <v>0</v>
      </c>
      <c r="O15" s="36">
        <v>36629.61</v>
      </c>
      <c r="P15" s="33">
        <f>+O15+K15+I15+G15+E15+C15+M15</f>
        <v>304265.7</v>
      </c>
      <c r="Q15" s="33">
        <f t="shared" si="0"/>
        <v>701539.3</v>
      </c>
    </row>
    <row r="16" spans="1:17" ht="17.25">
      <c r="A16" s="30" t="s">
        <v>78</v>
      </c>
      <c r="B16" s="67">
        <v>1872398</v>
      </c>
      <c r="C16" s="32">
        <f>109146.95+169957.42</f>
        <v>279104.37</v>
      </c>
      <c r="D16" s="67">
        <v>55500</v>
      </c>
      <c r="E16" s="32">
        <f>96.69+1262</f>
        <v>1358.69</v>
      </c>
      <c r="F16" s="67">
        <v>156380</v>
      </c>
      <c r="G16" s="32">
        <v>2541.47</v>
      </c>
      <c r="H16" s="67">
        <v>230000</v>
      </c>
      <c r="I16" s="32">
        <f>4120.9+7182.98</f>
        <v>11303.88</v>
      </c>
      <c r="J16" s="67">
        <v>74500</v>
      </c>
      <c r="K16" s="32">
        <v>0</v>
      </c>
      <c r="L16" s="67">
        <v>45000</v>
      </c>
      <c r="M16" s="32">
        <v>0</v>
      </c>
      <c r="N16" s="67">
        <v>0</v>
      </c>
      <c r="O16" s="36">
        <v>84144.65</v>
      </c>
      <c r="P16" s="33">
        <f>+O16+K16+I16+G16+E16+C16</f>
        <v>378453.06</v>
      </c>
      <c r="Q16" s="33">
        <f>+B16+D16+F16+H16+J16+N16-P16+L16</f>
        <v>2055324.94</v>
      </c>
    </row>
    <row r="17" spans="1:17" ht="17.25">
      <c r="A17" s="30" t="s">
        <v>77</v>
      </c>
      <c r="B17" s="67">
        <v>885423</v>
      </c>
      <c r="C17" s="32">
        <f>38888.06+62260.52</f>
        <v>101148.57999999999</v>
      </c>
      <c r="D17" s="67">
        <v>0</v>
      </c>
      <c r="E17" s="32">
        <v>2453.6</v>
      </c>
      <c r="F17" s="67">
        <v>1168000</v>
      </c>
      <c r="G17" s="32">
        <f>141352.3+298623.03</f>
        <v>439975.33</v>
      </c>
      <c r="H17" s="67">
        <v>130000</v>
      </c>
      <c r="I17" s="32">
        <f>5000+236283.86</f>
        <v>241283.86</v>
      </c>
      <c r="J17" s="67">
        <v>3500</v>
      </c>
      <c r="K17" s="32">
        <v>0</v>
      </c>
      <c r="L17" s="67">
        <v>0</v>
      </c>
      <c r="M17" s="32">
        <v>0</v>
      </c>
      <c r="N17" s="67">
        <v>0</v>
      </c>
      <c r="O17" s="36">
        <v>44644.54</v>
      </c>
      <c r="P17" s="33">
        <f>+O17+K17+I17+G17+E17+C17+M17</f>
        <v>829505.9099999999</v>
      </c>
      <c r="Q17" s="33">
        <f t="shared" si="0"/>
        <v>1357417.09</v>
      </c>
    </row>
    <row r="18" spans="1:17" ht="18" thickBot="1">
      <c r="A18" s="37" t="s">
        <v>11</v>
      </c>
      <c r="B18" s="38">
        <f aca="true" t="shared" si="1" ref="B18:Q18">SUM(B7:B17)</f>
        <v>9500442</v>
      </c>
      <c r="C18" s="39">
        <f t="shared" si="1"/>
        <v>1415121.53</v>
      </c>
      <c r="D18" s="38">
        <f t="shared" si="1"/>
        <v>157700</v>
      </c>
      <c r="E18" s="39">
        <f t="shared" si="1"/>
        <v>21764.589999999997</v>
      </c>
      <c r="F18" s="38">
        <f t="shared" si="1"/>
        <v>3403255</v>
      </c>
      <c r="G18" s="39">
        <f t="shared" si="1"/>
        <v>966993.78</v>
      </c>
      <c r="H18" s="38">
        <f t="shared" si="1"/>
        <v>905160</v>
      </c>
      <c r="I18" s="39">
        <f t="shared" si="1"/>
        <v>366130.77</v>
      </c>
      <c r="J18" s="38">
        <f t="shared" si="1"/>
        <v>164550</v>
      </c>
      <c r="K18" s="39">
        <f t="shared" si="1"/>
        <v>17330.29</v>
      </c>
      <c r="L18" s="38">
        <f t="shared" si="1"/>
        <v>45000</v>
      </c>
      <c r="M18" s="39">
        <f t="shared" si="1"/>
        <v>89414.14</v>
      </c>
      <c r="N18" s="38">
        <f t="shared" si="1"/>
        <v>700000</v>
      </c>
      <c r="O18" s="39">
        <f t="shared" si="1"/>
        <v>560420.17</v>
      </c>
      <c r="P18" s="41">
        <f t="shared" si="1"/>
        <v>3437175.2699999996</v>
      </c>
      <c r="Q18" s="41">
        <f t="shared" si="1"/>
        <v>11438931.73</v>
      </c>
    </row>
    <row r="19" spans="1:17" ht="17.25" thickBot="1">
      <c r="A19" s="42" t="s">
        <v>30</v>
      </c>
      <c r="B19" s="43"/>
      <c r="C19" s="137">
        <f>+C18/B18</f>
        <v>0.14895323080757716</v>
      </c>
      <c r="D19" s="45"/>
      <c r="E19" s="137">
        <f>+E18/D18</f>
        <v>0.13801261889663916</v>
      </c>
      <c r="F19" s="137"/>
      <c r="G19" s="137">
        <f>+G18/F18</f>
        <v>0.28413791502546826</v>
      </c>
      <c r="H19" s="137"/>
      <c r="I19" s="137">
        <f>+I18/H18</f>
        <v>0.4044928741879889</v>
      </c>
      <c r="J19" s="137"/>
      <c r="K19" s="45">
        <f>+K18/J18</f>
        <v>0.10531929504709815</v>
      </c>
      <c r="L19" s="162"/>
      <c r="M19" s="162">
        <f>+M18/L18</f>
        <v>1.986980888888889</v>
      </c>
      <c r="N19" s="137"/>
      <c r="O19" s="146">
        <f>+O18/N18</f>
        <v>0.8006002428571429</v>
      </c>
      <c r="P19" s="57"/>
      <c r="Q19" s="57"/>
    </row>
    <row r="20" spans="1:17" ht="8.25" customHeight="1">
      <c r="A20" s="48"/>
      <c r="B20" s="48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6:17" ht="16.5">
      <c r="P21" s="5"/>
      <c r="Q21" s="5"/>
    </row>
    <row r="23" ht="17.25">
      <c r="P23" s="68"/>
    </row>
    <row r="24" ht="16.5">
      <c r="P24" s="69"/>
    </row>
    <row r="25" ht="16.5">
      <c r="P25" s="57"/>
    </row>
    <row r="26" ht="16.5">
      <c r="P26" s="57"/>
    </row>
    <row r="27" ht="16.5">
      <c r="P27" s="57"/>
    </row>
    <row r="41" spans="1:6" ht="16.5">
      <c r="A41" s="52"/>
      <c r="B41" s="52"/>
      <c r="C41" s="52"/>
      <c r="D41" s="52"/>
      <c r="E41" s="52"/>
      <c r="F41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7" spans="3:6" ht="16.5">
      <c r="C47" s="51"/>
      <c r="D47" s="5"/>
      <c r="E47" s="52"/>
      <c r="F47" s="52"/>
    </row>
    <row r="48" spans="3:6" ht="16.5">
      <c r="C48" s="51"/>
      <c r="D48" s="5"/>
      <c r="E48" s="52"/>
      <c r="F48" s="52"/>
    </row>
    <row r="49" spans="3:6" ht="16.5">
      <c r="C49" s="51"/>
      <c r="D49" s="5"/>
      <c r="E49" s="52"/>
      <c r="F49" s="52"/>
    </row>
    <row r="50" ht="16.5">
      <c r="C50" s="47"/>
    </row>
    <row r="52" spans="1:4" ht="16.5">
      <c r="A52" s="61" t="s">
        <v>26</v>
      </c>
      <c r="B52" s="70" t="s">
        <v>27</v>
      </c>
      <c r="C52" s="61" t="s">
        <v>28</v>
      </c>
      <c r="D52" s="61"/>
    </row>
    <row r="53" spans="1:3" ht="17.25">
      <c r="A53" s="63">
        <f>+B18</f>
        <v>9500442</v>
      </c>
      <c r="B53" s="64">
        <f>+C18</f>
        <v>1415121.53</v>
      </c>
      <c r="C53" s="61" t="s">
        <v>1</v>
      </c>
    </row>
    <row r="54" spans="1:3" ht="17.25">
      <c r="A54" s="63">
        <f>+D18</f>
        <v>157700</v>
      </c>
      <c r="B54" s="64">
        <f>+E18</f>
        <v>21764.589999999997</v>
      </c>
      <c r="C54" s="61" t="s">
        <v>2</v>
      </c>
    </row>
    <row r="55" spans="1:3" ht="17.25">
      <c r="A55" s="63">
        <f>+F18</f>
        <v>3403255</v>
      </c>
      <c r="B55" s="64">
        <f>+G18</f>
        <v>966993.78</v>
      </c>
      <c r="C55" s="61" t="s">
        <v>3</v>
      </c>
    </row>
    <row r="56" spans="1:3" ht="17.25">
      <c r="A56" s="63">
        <f>+H18</f>
        <v>905160</v>
      </c>
      <c r="B56" s="64">
        <f>+I18</f>
        <v>366130.77</v>
      </c>
      <c r="C56" s="61" t="s">
        <v>34</v>
      </c>
    </row>
    <row r="57" spans="1:3" ht="17.25">
      <c r="A57" s="63">
        <f>+J18</f>
        <v>164550</v>
      </c>
      <c r="B57" s="64">
        <f>+K18</f>
        <v>17330.29</v>
      </c>
      <c r="C57" s="61" t="s">
        <v>32</v>
      </c>
    </row>
    <row r="58" spans="1:3" ht="17.25">
      <c r="A58" s="63">
        <v>0</v>
      </c>
      <c r="B58" s="64">
        <f>+M18</f>
        <v>89414.14</v>
      </c>
      <c r="C58" s="61" t="s">
        <v>102</v>
      </c>
    </row>
    <row r="59" spans="1:3" ht="17.25">
      <c r="A59" s="63">
        <f>+N18</f>
        <v>700000</v>
      </c>
      <c r="B59" s="64">
        <f>+O18</f>
        <v>560420.17</v>
      </c>
      <c r="C59" s="61" t="s">
        <v>35</v>
      </c>
    </row>
    <row r="60" spans="1:3" ht="17.25">
      <c r="A60" s="63"/>
      <c r="B60" s="63"/>
      <c r="C60" s="61"/>
    </row>
    <row r="61" spans="1:3" ht="17.25">
      <c r="A61" s="63">
        <v>866913</v>
      </c>
      <c r="B61" s="64">
        <v>406071.92</v>
      </c>
      <c r="C61" s="61"/>
    </row>
    <row r="62" spans="1:3" ht="17.25">
      <c r="A62" s="63"/>
      <c r="B62" s="63"/>
      <c r="C62" s="61"/>
    </row>
    <row r="63" spans="1:2" ht="17.25">
      <c r="A63" s="63"/>
      <c r="B63" s="63"/>
    </row>
    <row r="64" spans="1:2" ht="17.25">
      <c r="A64" s="63"/>
      <c r="B64" s="63"/>
    </row>
    <row r="65" spans="1:2" ht="17.25">
      <c r="A65" s="63"/>
      <c r="B65" s="63"/>
    </row>
    <row r="66" spans="1:2" ht="17.25">
      <c r="A66" s="63"/>
      <c r="B66" s="63"/>
    </row>
    <row r="67" spans="1:2" ht="17.25">
      <c r="A67" s="63"/>
      <c r="B67" s="63"/>
    </row>
    <row r="68" spans="1:2" ht="17.25">
      <c r="A68" s="63"/>
      <c r="B68" s="63"/>
    </row>
    <row r="69" spans="1:2" ht="17.25">
      <c r="A69" s="63"/>
      <c r="B69" s="63"/>
    </row>
    <row r="70" spans="1:2" ht="17.25">
      <c r="A70" s="63"/>
      <c r="B70" s="63"/>
    </row>
    <row r="71" spans="1:2" ht="17.25">
      <c r="A71" s="63"/>
      <c r="B71" s="63"/>
    </row>
    <row r="72" spans="1:2" ht="17.25">
      <c r="A72" s="63"/>
      <c r="B72" s="63"/>
    </row>
    <row r="73" spans="1:2" ht="17.25">
      <c r="A73" s="63"/>
      <c r="B73" s="63"/>
    </row>
    <row r="74" spans="1:2" ht="17.25">
      <c r="A74" s="63"/>
      <c r="B74" s="63"/>
    </row>
    <row r="75" spans="1:2" ht="17.25">
      <c r="A75" s="63"/>
      <c r="B75" s="63"/>
    </row>
    <row r="76" spans="1:2" ht="17.25">
      <c r="A76" s="63"/>
      <c r="B76" s="63"/>
    </row>
    <row r="77" spans="1:2" ht="17.25">
      <c r="A77" s="63"/>
      <c r="B77" s="63"/>
    </row>
  </sheetData>
  <sheetProtection/>
  <mergeCells count="9">
    <mergeCell ref="B2:E2"/>
    <mergeCell ref="B3:C3"/>
    <mergeCell ref="J5:K5"/>
    <mergeCell ref="N5:O5"/>
    <mergeCell ref="B5:C5"/>
    <mergeCell ref="D5:E5"/>
    <mergeCell ref="F5:G5"/>
    <mergeCell ref="H5:I5"/>
    <mergeCell ref="L5:M5"/>
  </mergeCells>
  <printOptions/>
  <pageMargins left="0.7086614173228347" right="0.35433070866141736" top="0.4724409448818898" bottom="0.5511811023622047" header="0.196850393700787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1">
      <selection activeCell="P16" sqref="P16"/>
    </sheetView>
  </sheetViews>
  <sheetFormatPr defaultColWidth="11.421875" defaultRowHeight="15"/>
  <cols>
    <col min="1" max="1" width="15.57421875" style="1" customWidth="1"/>
    <col min="2" max="2" width="9.140625" style="1" customWidth="1"/>
    <col min="3" max="3" width="12.140625" style="1" customWidth="1"/>
    <col min="4" max="4" width="9.421875" style="1" customWidth="1"/>
    <col min="5" max="5" width="10.421875" style="1" customWidth="1"/>
    <col min="6" max="6" width="9.28125" style="1" customWidth="1"/>
    <col min="7" max="7" width="10.28125" style="1" customWidth="1"/>
    <col min="8" max="8" width="7.421875" style="1" customWidth="1"/>
    <col min="9" max="9" width="8.7109375" style="1" customWidth="1"/>
    <col min="10" max="10" width="7.57421875" style="1" customWidth="1"/>
    <col min="11" max="11" width="10.140625" style="1" customWidth="1"/>
    <col min="12" max="12" width="7.57421875" style="1" customWidth="1"/>
    <col min="13" max="13" width="9.28125" style="1" customWidth="1"/>
    <col min="14" max="14" width="9.421875" style="1" customWidth="1"/>
    <col min="15" max="15" width="11.8515625" style="1" customWidth="1"/>
    <col min="16" max="16" width="12.28125" style="1" customWidth="1"/>
    <col min="17" max="17" width="13.57421875" style="1" customWidth="1"/>
    <col min="18" max="18" width="11.28125" style="1" customWidth="1"/>
    <col min="19" max="16384" width="11.421875" style="1" customWidth="1"/>
  </cols>
  <sheetData>
    <row r="1" spans="14:15" ht="16.5">
      <c r="N1" s="71"/>
      <c r="O1" s="71"/>
    </row>
    <row r="2" spans="1:15" ht="18">
      <c r="A2" s="144" t="s">
        <v>0</v>
      </c>
      <c r="B2" s="167" t="s">
        <v>125</v>
      </c>
      <c r="C2" s="179"/>
      <c r="D2" s="179"/>
      <c r="E2" s="179"/>
      <c r="F2" s="179"/>
      <c r="G2" s="180"/>
      <c r="L2" s="176" t="s">
        <v>23</v>
      </c>
      <c r="M2" s="177"/>
      <c r="N2" s="149">
        <v>41306</v>
      </c>
      <c r="O2" s="72"/>
    </row>
    <row r="3" spans="2:5" ht="12.75" customHeight="1">
      <c r="B3" s="178"/>
      <c r="C3" s="178"/>
      <c r="D3" s="178"/>
      <c r="E3" s="178"/>
    </row>
    <row r="4" spans="15:16" ht="18" thickBot="1">
      <c r="O4" s="73"/>
      <c r="P4" s="64"/>
    </row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74" t="s">
        <v>92</v>
      </c>
      <c r="I5" s="74"/>
      <c r="J5" s="174" t="s">
        <v>32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964631</v>
      </c>
      <c r="C7" s="32">
        <f>13944.99+170981.08+6244.86+3948.02+22104.9+16079.7+7575.59+12019.41</f>
        <v>252898.54999999996</v>
      </c>
      <c r="D7" s="67">
        <v>0</v>
      </c>
      <c r="E7" s="32">
        <v>6045</v>
      </c>
      <c r="F7" s="67">
        <v>25000</v>
      </c>
      <c r="G7" s="32">
        <f>1385.99+1710.74</f>
        <v>3096.73</v>
      </c>
      <c r="H7" s="67">
        <v>0</v>
      </c>
      <c r="I7" s="32">
        <v>0</v>
      </c>
      <c r="J7" s="67">
        <v>4800</v>
      </c>
      <c r="K7" s="32">
        <v>0</v>
      </c>
      <c r="L7" s="67">
        <v>0</v>
      </c>
      <c r="M7" s="32">
        <v>0</v>
      </c>
      <c r="N7" s="67">
        <v>2630000</v>
      </c>
      <c r="O7" s="32">
        <v>109763.24</v>
      </c>
      <c r="P7" s="33">
        <f>+C7+E7+G7+K7+O7+I7</f>
        <v>371803.51999999996</v>
      </c>
      <c r="Q7" s="33">
        <f aca="true" t="shared" si="0" ref="Q7:Q12">+B7+D7+F7+J7+N7+H7-P7</f>
        <v>3252627.48</v>
      </c>
      <c r="R7" s="157"/>
    </row>
    <row r="8" spans="1:17" ht="17.25">
      <c r="A8" s="30" t="s">
        <v>6</v>
      </c>
      <c r="B8" s="31">
        <v>799235</v>
      </c>
      <c r="C8" s="32">
        <f>27544.95+50115.29+8717.03+9339.59</f>
        <v>95716.86</v>
      </c>
      <c r="D8" s="67">
        <v>4000</v>
      </c>
      <c r="E8" s="32">
        <v>0</v>
      </c>
      <c r="F8" s="67">
        <v>1239410</v>
      </c>
      <c r="G8" s="32">
        <f>35546+291297.26</f>
        <v>326843.26</v>
      </c>
      <c r="H8" s="67">
        <v>0</v>
      </c>
      <c r="I8" s="32">
        <v>0</v>
      </c>
      <c r="J8" s="67">
        <v>10000</v>
      </c>
      <c r="K8" s="32">
        <v>0</v>
      </c>
      <c r="L8" s="67">
        <v>0</v>
      </c>
      <c r="M8" s="32">
        <v>0</v>
      </c>
      <c r="N8" s="67">
        <v>0</v>
      </c>
      <c r="O8" s="32">
        <v>33147.47</v>
      </c>
      <c r="P8" s="33">
        <f>+C8+E8+G8+K8+O8+I8</f>
        <v>455707.58999999997</v>
      </c>
      <c r="Q8" s="33">
        <f t="shared" si="0"/>
        <v>1596937.4100000001</v>
      </c>
    </row>
    <row r="9" spans="1:17" ht="17.25">
      <c r="A9" s="30" t="s">
        <v>101</v>
      </c>
      <c r="B9" s="31">
        <v>1899088</v>
      </c>
      <c r="C9" s="32">
        <f>52670.9+112494.71+19908.51+12736.22+6293.01+3815.42+11100.97+12010.96</f>
        <v>231030.70000000004</v>
      </c>
      <c r="D9" s="67">
        <v>7500</v>
      </c>
      <c r="E9" s="32">
        <v>2407.52</v>
      </c>
      <c r="F9" s="67">
        <v>77200</v>
      </c>
      <c r="G9" s="32">
        <v>1800</v>
      </c>
      <c r="H9" s="67">
        <v>0</v>
      </c>
      <c r="I9" s="32">
        <v>0</v>
      </c>
      <c r="J9" s="67">
        <v>22100</v>
      </c>
      <c r="K9" s="32">
        <v>0</v>
      </c>
      <c r="L9" s="67">
        <v>20000</v>
      </c>
      <c r="M9" s="32">
        <v>0</v>
      </c>
      <c r="N9" s="67">
        <v>0</v>
      </c>
      <c r="O9" s="32">
        <v>83123.59</v>
      </c>
      <c r="P9" s="33">
        <f>+C9+E9+G9+K9+O9+I9</f>
        <v>318361.81000000006</v>
      </c>
      <c r="Q9" s="33">
        <f>+B9+D9+F9+J9+N9+H9-P9+L9</f>
        <v>1707526.19</v>
      </c>
    </row>
    <row r="10" spans="1:17" ht="17.25">
      <c r="A10" s="30" t="s">
        <v>7</v>
      </c>
      <c r="B10" s="31">
        <v>632665</v>
      </c>
      <c r="C10" s="32">
        <f>28813.65+47020.86+3632.23+5919.13</f>
        <v>85385.87000000001</v>
      </c>
      <c r="D10" s="67">
        <v>74000</v>
      </c>
      <c r="E10" s="32">
        <f>587.2+17642.1</f>
        <v>18229.3</v>
      </c>
      <c r="F10" s="67">
        <v>109000</v>
      </c>
      <c r="G10" s="32">
        <v>603.79</v>
      </c>
      <c r="H10" s="67">
        <v>0</v>
      </c>
      <c r="I10" s="32">
        <v>0</v>
      </c>
      <c r="J10" s="67">
        <v>52000</v>
      </c>
      <c r="K10" s="32">
        <v>0</v>
      </c>
      <c r="L10" s="67">
        <v>0</v>
      </c>
      <c r="M10" s="32">
        <v>0</v>
      </c>
      <c r="N10" s="67">
        <v>0</v>
      </c>
      <c r="O10" s="32">
        <v>29835.97</v>
      </c>
      <c r="P10" s="33">
        <f>+C10+E10+G10+K10+O10+I10+M10</f>
        <v>134054.93</v>
      </c>
      <c r="Q10" s="33">
        <f t="shared" si="0"/>
        <v>733610.0700000001</v>
      </c>
    </row>
    <row r="11" spans="1:19" ht="17.25">
      <c r="A11" s="30" t="s">
        <v>9</v>
      </c>
      <c r="B11" s="31">
        <v>1507496</v>
      </c>
      <c r="C11" s="32">
        <f>79167.51+116246.61</f>
        <v>195414.12</v>
      </c>
      <c r="D11" s="67">
        <v>18000</v>
      </c>
      <c r="E11" s="32">
        <v>0</v>
      </c>
      <c r="F11" s="67">
        <v>428456</v>
      </c>
      <c r="G11" s="32">
        <f>1250+32611.18</f>
        <v>33861.18</v>
      </c>
      <c r="H11" s="67">
        <v>0</v>
      </c>
      <c r="I11" s="32">
        <v>0</v>
      </c>
      <c r="J11" s="67">
        <v>23900</v>
      </c>
      <c r="K11" s="32">
        <v>0</v>
      </c>
      <c r="L11" s="67">
        <v>0</v>
      </c>
      <c r="M11" s="32">
        <v>0</v>
      </c>
      <c r="N11" s="67">
        <v>0</v>
      </c>
      <c r="O11" s="32">
        <v>66732.21</v>
      </c>
      <c r="P11" s="33">
        <f>+C11+E11+G11+K11+O11+I11</f>
        <v>296007.51</v>
      </c>
      <c r="Q11" s="33">
        <f t="shared" si="0"/>
        <v>1681844.49</v>
      </c>
      <c r="S11" s="5"/>
    </row>
    <row r="12" spans="1:17" ht="17.25">
      <c r="A12" s="30" t="s">
        <v>8</v>
      </c>
      <c r="B12" s="31">
        <v>1748048</v>
      </c>
      <c r="C12" s="32">
        <f>84009.57+116420.08+12340.41+6043.06+13087.45+5578.76</f>
        <v>237479.33000000005</v>
      </c>
      <c r="D12" s="67">
        <v>931600</v>
      </c>
      <c r="E12" s="32">
        <f>67021.8+493898.41</f>
        <v>560920.21</v>
      </c>
      <c r="F12" s="67">
        <v>191000</v>
      </c>
      <c r="G12" s="32">
        <f>2349+8443.1</f>
        <v>10792.1</v>
      </c>
      <c r="H12" s="67">
        <v>0</v>
      </c>
      <c r="I12" s="32">
        <v>0</v>
      </c>
      <c r="J12" s="67">
        <v>29700</v>
      </c>
      <c r="K12" s="32">
        <v>3890</v>
      </c>
      <c r="L12" s="67">
        <v>0</v>
      </c>
      <c r="M12" s="32">
        <v>0</v>
      </c>
      <c r="N12" s="67">
        <v>0</v>
      </c>
      <c r="O12" s="32">
        <v>78918.21</v>
      </c>
      <c r="P12" s="33">
        <f>+C12+E12+G12+K12+O12+I12+M12</f>
        <v>891999.85</v>
      </c>
      <c r="Q12" s="33">
        <f t="shared" si="0"/>
        <v>2008348.15</v>
      </c>
    </row>
    <row r="13" spans="1:17" ht="17.25">
      <c r="A13" s="30" t="s">
        <v>10</v>
      </c>
      <c r="B13" s="31">
        <v>302258</v>
      </c>
      <c r="C13" s="32">
        <f>14181.67+24199.34</f>
        <v>38381.01</v>
      </c>
      <c r="D13" s="67">
        <v>450</v>
      </c>
      <c r="E13" s="32">
        <v>0</v>
      </c>
      <c r="F13" s="67">
        <v>10600</v>
      </c>
      <c r="G13" s="32">
        <f>400+41.14</f>
        <v>441.14</v>
      </c>
      <c r="H13" s="67">
        <v>0</v>
      </c>
      <c r="I13" s="32">
        <v>0</v>
      </c>
      <c r="J13" s="67">
        <v>6000</v>
      </c>
      <c r="K13" s="32">
        <v>0</v>
      </c>
      <c r="L13" s="67">
        <v>2500</v>
      </c>
      <c r="M13" s="32">
        <v>0</v>
      </c>
      <c r="N13" s="67">
        <v>0</v>
      </c>
      <c r="O13" s="32">
        <v>13649.01</v>
      </c>
      <c r="P13" s="33">
        <f>+C13+E13+G13+K13+O13+I13</f>
        <v>52471.16</v>
      </c>
      <c r="Q13" s="33">
        <f>+B13+D13+F13+J13+N13+H13-P13+L13</f>
        <v>269336.83999999997</v>
      </c>
    </row>
    <row r="14" spans="1:17" ht="18" thickBot="1">
      <c r="A14" s="37" t="s">
        <v>11</v>
      </c>
      <c r="B14" s="38">
        <f aca="true" t="shared" si="1" ref="B14:Q14">SUM(B7:B13)</f>
        <v>7853421</v>
      </c>
      <c r="C14" s="39">
        <f t="shared" si="1"/>
        <v>1136306.44</v>
      </c>
      <c r="D14" s="38">
        <f t="shared" si="1"/>
        <v>1035550</v>
      </c>
      <c r="E14" s="39">
        <f t="shared" si="1"/>
        <v>587602.0299999999</v>
      </c>
      <c r="F14" s="76">
        <f t="shared" si="1"/>
        <v>2080666</v>
      </c>
      <c r="G14" s="39">
        <f t="shared" si="1"/>
        <v>377438.19999999995</v>
      </c>
      <c r="H14" s="76">
        <f t="shared" si="1"/>
        <v>0</v>
      </c>
      <c r="I14" s="39">
        <f t="shared" si="1"/>
        <v>0</v>
      </c>
      <c r="J14" s="38">
        <f t="shared" si="1"/>
        <v>148500</v>
      </c>
      <c r="K14" s="39">
        <f t="shared" si="1"/>
        <v>3890</v>
      </c>
      <c r="L14" s="38">
        <f>SUM(L7:L13)</f>
        <v>22500</v>
      </c>
      <c r="M14" s="39">
        <f>SUM(M7:M13)</f>
        <v>0</v>
      </c>
      <c r="N14" s="38">
        <f t="shared" si="1"/>
        <v>2630000</v>
      </c>
      <c r="O14" s="39">
        <f t="shared" si="1"/>
        <v>415169.70000000007</v>
      </c>
      <c r="P14" s="41">
        <f t="shared" si="1"/>
        <v>2520406.37</v>
      </c>
      <c r="Q14" s="41">
        <f t="shared" si="1"/>
        <v>11250230.63</v>
      </c>
    </row>
    <row r="15" spans="1:17" ht="17.25" thickBot="1">
      <c r="A15" s="42" t="s">
        <v>30</v>
      </c>
      <c r="B15" s="43"/>
      <c r="C15" s="137">
        <f>+C14/B14</f>
        <v>0.14468935766973398</v>
      </c>
      <c r="D15" s="137"/>
      <c r="E15" s="137">
        <f>+E14/D14</f>
        <v>0.5674298971561005</v>
      </c>
      <c r="F15" s="137"/>
      <c r="G15" s="137">
        <f>+G14/F14</f>
        <v>0.1814025893632135</v>
      </c>
      <c r="H15" s="44"/>
      <c r="I15" s="44"/>
      <c r="J15" s="44"/>
      <c r="K15" s="45">
        <f>+K14/J14</f>
        <v>0.026195286195286195</v>
      </c>
      <c r="L15" s="46"/>
      <c r="M15" s="46">
        <f>+M14/L14</f>
        <v>0</v>
      </c>
      <c r="N15" s="46"/>
      <c r="O15" s="139">
        <f>+O14/N14</f>
        <v>0.15785920152091257</v>
      </c>
      <c r="P15" s="57"/>
      <c r="Q15" s="5"/>
    </row>
    <row r="16" spans="1:17" ht="16.5">
      <c r="A16" s="48"/>
      <c r="B16" s="48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138"/>
      <c r="Q16" s="5"/>
    </row>
    <row r="17" ht="16.5">
      <c r="P17" s="5"/>
    </row>
    <row r="39" spans="1:6" ht="16.5">
      <c r="A39" s="52"/>
      <c r="B39" s="52"/>
      <c r="C39" s="52"/>
      <c r="D39" s="52"/>
      <c r="E39" s="52"/>
      <c r="F39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8" spans="1:4" ht="16.5">
      <c r="A48" s="61" t="s">
        <v>26</v>
      </c>
      <c r="B48" s="61" t="s">
        <v>27</v>
      </c>
      <c r="C48" s="61" t="s">
        <v>28</v>
      </c>
      <c r="D48" s="5"/>
    </row>
    <row r="49" spans="1:3" ht="16.5">
      <c r="A49" s="1">
        <f>+B14</f>
        <v>7853421</v>
      </c>
      <c r="B49" s="51">
        <f>+C14</f>
        <v>1136306.44</v>
      </c>
      <c r="C49" s="61" t="s">
        <v>1</v>
      </c>
    </row>
    <row r="50" spans="1:3" ht="16.5">
      <c r="A50" s="1">
        <f>+D14</f>
        <v>1035550</v>
      </c>
      <c r="B50" s="51">
        <f>+E14</f>
        <v>587602.0299999999</v>
      </c>
      <c r="C50" s="61" t="s">
        <v>2</v>
      </c>
    </row>
    <row r="51" spans="1:3" ht="16.5">
      <c r="A51" s="1">
        <f>+F14</f>
        <v>2080666</v>
      </c>
      <c r="B51" s="51">
        <f>+G14</f>
        <v>377438.19999999995</v>
      </c>
      <c r="C51" s="61" t="s">
        <v>3</v>
      </c>
    </row>
    <row r="52" spans="1:3" ht="16.5" hidden="1">
      <c r="A52" s="77">
        <f>+H14</f>
        <v>0</v>
      </c>
      <c r="B52" s="51">
        <f>+I14</f>
        <v>0</v>
      </c>
      <c r="C52" s="61" t="s">
        <v>34</v>
      </c>
    </row>
    <row r="53" spans="1:3" ht="16.5">
      <c r="A53" s="1">
        <f>+J14</f>
        <v>148500</v>
      </c>
      <c r="B53" s="5">
        <f>+K14</f>
        <v>3890</v>
      </c>
      <c r="C53" s="61" t="s">
        <v>32</v>
      </c>
    </row>
    <row r="54" spans="1:3" ht="16.5">
      <c r="A54" s="1">
        <v>0</v>
      </c>
      <c r="B54" s="5">
        <f>+M14</f>
        <v>0</v>
      </c>
      <c r="C54" s="61" t="s">
        <v>102</v>
      </c>
    </row>
    <row r="55" spans="1:3" ht="17.25">
      <c r="A55" s="1">
        <f>+N14</f>
        <v>2630000</v>
      </c>
      <c r="B55" s="64">
        <f>+O14</f>
        <v>415169.70000000007</v>
      </c>
      <c r="C55" s="61" t="s">
        <v>35</v>
      </c>
    </row>
    <row r="56" ht="16.5">
      <c r="C56" s="62"/>
    </row>
    <row r="57" spans="1:3" ht="17.25">
      <c r="A57" s="1">
        <v>2487582</v>
      </c>
      <c r="B57" s="64">
        <v>786542.11</v>
      </c>
      <c r="C57" s="62"/>
    </row>
    <row r="58" ht="16.5">
      <c r="C58" s="62"/>
    </row>
    <row r="59" ht="16.5">
      <c r="C59" s="62"/>
    </row>
    <row r="60" ht="16.5">
      <c r="C60" s="62"/>
    </row>
    <row r="61" ht="16.5">
      <c r="C61" s="62"/>
    </row>
    <row r="62" ht="16.5">
      <c r="C62" s="62"/>
    </row>
    <row r="63" ht="16.5">
      <c r="C63" s="62"/>
    </row>
  </sheetData>
  <sheetProtection/>
  <mergeCells count="9">
    <mergeCell ref="N5:O5"/>
    <mergeCell ref="B5:C5"/>
    <mergeCell ref="D5:E5"/>
    <mergeCell ref="F5:G5"/>
    <mergeCell ref="L5:M5"/>
    <mergeCell ref="L2:M2"/>
    <mergeCell ref="B3:E3"/>
    <mergeCell ref="J5:K5"/>
    <mergeCell ref="B2:G2"/>
  </mergeCells>
  <printOptions/>
  <pageMargins left="0.84" right="0.63" top="0.78" bottom="0.5" header="0.42" footer="0"/>
  <pageSetup horizontalDpi="600" verticalDpi="600" orientation="landscape" paperSize="5" r:id="rId2"/>
  <headerFooter alignWithMargins="0">
    <oddHeader>&amp;R&amp;"Palatino Linotype,Normal"&amp;10CONTADURIA MUNICIPA&amp;"Gill Sans MT Shadow,Normal"L</oddHeader>
    <oddFooter>&amp;L&amp;"Gill Sans MT Shadow,Regular"&amp;8&amp;D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6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7.28125" style="1" customWidth="1"/>
    <col min="2" max="2" width="10.140625" style="1" customWidth="1"/>
    <col min="3" max="3" width="12.421875" style="1" customWidth="1"/>
    <col min="4" max="4" width="7.7109375" style="1" customWidth="1"/>
    <col min="5" max="5" width="9.57421875" style="1" customWidth="1"/>
    <col min="6" max="6" width="9.140625" style="1" customWidth="1"/>
    <col min="7" max="7" width="12.140625" style="1" customWidth="1"/>
    <col min="8" max="8" width="9.140625" style="1" customWidth="1"/>
    <col min="9" max="9" width="10.7109375" style="1" customWidth="1"/>
    <col min="10" max="10" width="7.7109375" style="1" customWidth="1"/>
    <col min="11" max="11" width="9.28125" style="1" customWidth="1"/>
    <col min="12" max="12" width="7.57421875" style="1" customWidth="1"/>
    <col min="13" max="13" width="8.8515625" style="1" customWidth="1"/>
    <col min="14" max="14" width="9.28125" style="1" customWidth="1"/>
    <col min="15" max="15" width="11.00390625" style="1" customWidth="1"/>
    <col min="16" max="16" width="12.57421875" style="1" customWidth="1"/>
    <col min="17" max="17" width="13.003906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106</v>
      </c>
      <c r="C2" s="167"/>
      <c r="D2" s="181"/>
      <c r="E2" s="181"/>
      <c r="F2" s="180"/>
      <c r="I2" s="176" t="s">
        <v>23</v>
      </c>
      <c r="J2" s="176"/>
      <c r="K2" s="149">
        <v>41306</v>
      </c>
      <c r="L2" s="120"/>
      <c r="M2" s="120"/>
      <c r="N2" s="121"/>
      <c r="O2" s="55"/>
    </row>
    <row r="3" spans="2:4" ht="16.5">
      <c r="B3" s="182"/>
      <c r="C3" s="182"/>
      <c r="D3" s="66"/>
    </row>
    <row r="4" ht="17.25" thickBot="1"/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174" t="s">
        <v>4</v>
      </c>
      <c r="I5" s="175"/>
      <c r="J5" s="174" t="s">
        <v>32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2227218</v>
      </c>
      <c r="C7" s="32">
        <f>164875.9+263385.44+6729.4+9461.38</f>
        <v>444452.12</v>
      </c>
      <c r="D7" s="31">
        <v>167200</v>
      </c>
      <c r="E7" s="32">
        <f>1220+5566.79</f>
        <v>6786.79</v>
      </c>
      <c r="F7" s="31">
        <v>1276133</v>
      </c>
      <c r="G7" s="32">
        <f>26486.18+375820.5</f>
        <v>402306.68</v>
      </c>
      <c r="H7" s="31">
        <v>4667657</v>
      </c>
      <c r="I7" s="32">
        <f>49989.67+299605.24</f>
        <v>349594.91</v>
      </c>
      <c r="J7" s="31">
        <v>40000</v>
      </c>
      <c r="K7" s="32">
        <v>1060</v>
      </c>
      <c r="L7" s="31">
        <v>150000</v>
      </c>
      <c r="M7" s="36">
        <v>3521</v>
      </c>
      <c r="N7" s="31">
        <v>1000000</v>
      </c>
      <c r="O7" s="32">
        <v>240861.09</v>
      </c>
      <c r="P7" s="33">
        <f>+C7+E7+G7+I7+K7+O7+M7</f>
        <v>1448582.59</v>
      </c>
      <c r="Q7" s="33">
        <f>+B7+D7+F7+H7+J7+N7-P7+L7</f>
        <v>8079625.41</v>
      </c>
      <c r="R7" s="5"/>
    </row>
    <row r="8" spans="1:18" ht="17.25">
      <c r="A8" s="30" t="s">
        <v>75</v>
      </c>
      <c r="B8" s="31">
        <v>391238</v>
      </c>
      <c r="C8" s="32">
        <f>32039.73+23341.19</f>
        <v>55380.92</v>
      </c>
      <c r="D8" s="31">
        <v>21000</v>
      </c>
      <c r="E8" s="32">
        <f>1851.12+686.36</f>
        <v>2537.48</v>
      </c>
      <c r="F8" s="31">
        <v>1751209</v>
      </c>
      <c r="G8" s="32">
        <f>12500+109864.21</f>
        <v>122364.21</v>
      </c>
      <c r="H8" s="31">
        <v>638991</v>
      </c>
      <c r="I8" s="32">
        <v>5821</v>
      </c>
      <c r="J8" s="31">
        <v>33000</v>
      </c>
      <c r="K8" s="32">
        <v>0</v>
      </c>
      <c r="L8" s="31">
        <v>25000</v>
      </c>
      <c r="M8" s="36">
        <v>0</v>
      </c>
      <c r="N8" s="31">
        <v>0</v>
      </c>
      <c r="O8" s="32">
        <v>18399.07</v>
      </c>
      <c r="P8" s="33">
        <f>+C8+E8+G8+I8+K8+O8+M8</f>
        <v>204502.68000000002</v>
      </c>
      <c r="Q8" s="33">
        <f>+B8+D8+F8+H8+J8+N8-P8+L8</f>
        <v>2655935.32</v>
      </c>
      <c r="R8" s="5"/>
    </row>
    <row r="9" spans="1:18" ht="17.25">
      <c r="A9" s="30" t="s">
        <v>82</v>
      </c>
      <c r="B9" s="31">
        <v>4772666</v>
      </c>
      <c r="C9" s="32">
        <f>359875.92+276707.71</f>
        <v>636583.63</v>
      </c>
      <c r="D9" s="31">
        <v>18000</v>
      </c>
      <c r="E9" s="32">
        <v>460</v>
      </c>
      <c r="F9" s="31">
        <v>1003398</v>
      </c>
      <c r="G9" s="32">
        <f>1575+32909.17+102720.36</f>
        <v>137204.53</v>
      </c>
      <c r="H9" s="31">
        <v>1538509</v>
      </c>
      <c r="I9" s="32">
        <f>40775.53+99891.34</f>
        <v>140666.87</v>
      </c>
      <c r="J9" s="31">
        <v>21700</v>
      </c>
      <c r="K9" s="32">
        <v>1342.52</v>
      </c>
      <c r="L9" s="31">
        <v>75000</v>
      </c>
      <c r="M9" s="36">
        <v>580</v>
      </c>
      <c r="N9" s="31">
        <v>0</v>
      </c>
      <c r="O9" s="32">
        <v>242046.08</v>
      </c>
      <c r="P9" s="33">
        <f>+C9+E9+G9+I9+K9+O9+M9</f>
        <v>1158883.6300000001</v>
      </c>
      <c r="Q9" s="33">
        <f>+B9+D9+F9+H9+J9+N9-P9+L9</f>
        <v>6270389.37</v>
      </c>
      <c r="R9" s="5"/>
    </row>
    <row r="10" spans="1:18" ht="17.25">
      <c r="A10" s="30" t="s">
        <v>121</v>
      </c>
      <c r="B10" s="31">
        <v>6092542</v>
      </c>
      <c r="C10" s="32">
        <f>539466.53+417416.64</f>
        <v>956883.17</v>
      </c>
      <c r="D10" s="31">
        <v>1500</v>
      </c>
      <c r="E10" s="32">
        <f>460+110.18</f>
        <v>570.1800000000001</v>
      </c>
      <c r="F10" s="31">
        <v>825272</v>
      </c>
      <c r="G10" s="32">
        <f>18882.52+50917.04</f>
        <v>69799.56</v>
      </c>
      <c r="H10" s="31">
        <v>148039</v>
      </c>
      <c r="I10" s="32">
        <v>0</v>
      </c>
      <c r="J10" s="31">
        <v>0</v>
      </c>
      <c r="K10" s="32">
        <v>0</v>
      </c>
      <c r="L10" s="31">
        <v>0</v>
      </c>
      <c r="M10" s="36">
        <v>0</v>
      </c>
      <c r="N10" s="31">
        <v>0</v>
      </c>
      <c r="O10" s="32">
        <v>335020.4</v>
      </c>
      <c r="P10" s="33">
        <f>+C10+E10+G10+I10+K10+O10+M10</f>
        <v>1362273.31</v>
      </c>
      <c r="Q10" s="33">
        <f>+B10+D10+F10+H10+J10+N10-P10</f>
        <v>5705079.6899999995</v>
      </c>
      <c r="R10" s="5"/>
    </row>
    <row r="11" spans="1:18" ht="17.25">
      <c r="A11" s="30" t="s">
        <v>107</v>
      </c>
      <c r="B11" s="31">
        <v>1582694</v>
      </c>
      <c r="C11" s="32">
        <f>-9849.28+118320.02+105032.31</f>
        <v>213503.05</v>
      </c>
      <c r="D11" s="31">
        <v>21000</v>
      </c>
      <c r="E11" s="32">
        <v>98.28</v>
      </c>
      <c r="F11" s="31">
        <v>604859</v>
      </c>
      <c r="G11" s="32">
        <f>129757.04+141978.47</f>
        <v>271735.51</v>
      </c>
      <c r="H11" s="31">
        <v>838208</v>
      </c>
      <c r="I11" s="32">
        <f>41068.89+92894.54</f>
        <v>133963.43</v>
      </c>
      <c r="J11" s="31">
        <v>57800</v>
      </c>
      <c r="K11" s="32">
        <v>0</v>
      </c>
      <c r="L11" s="31">
        <v>0</v>
      </c>
      <c r="M11" s="36">
        <v>0</v>
      </c>
      <c r="N11" s="31">
        <v>0</v>
      </c>
      <c r="O11" s="32">
        <v>82245.74</v>
      </c>
      <c r="P11" s="33">
        <f>+C11+E11+G11+I11+K11+O11</f>
        <v>701546.01</v>
      </c>
      <c r="Q11" s="33">
        <f>+B11+D11+F11+H11+J11+N11-P11</f>
        <v>2403014.99</v>
      </c>
      <c r="R11" s="5"/>
    </row>
    <row r="12" spans="1:18" ht="17.25" hidden="1">
      <c r="A12" s="30" t="s">
        <v>76</v>
      </c>
      <c r="B12" s="31"/>
      <c r="C12" s="32"/>
      <c r="D12" s="31"/>
      <c r="E12" s="32"/>
      <c r="F12" s="31"/>
      <c r="G12" s="32"/>
      <c r="H12" s="31"/>
      <c r="I12" s="32"/>
      <c r="J12" s="31"/>
      <c r="K12" s="32"/>
      <c r="L12" s="31"/>
      <c r="M12" s="36"/>
      <c r="N12" s="31">
        <v>0</v>
      </c>
      <c r="O12" s="32"/>
      <c r="P12" s="33">
        <f>+C12+E12+G12+I12+K12+O12+M12</f>
        <v>0</v>
      </c>
      <c r="Q12" s="33">
        <f>+B12+D12+F12+H12+J12+N12-P12</f>
        <v>0</v>
      </c>
      <c r="R12" s="5"/>
    </row>
    <row r="13" spans="1:18" ht="18" thickBot="1">
      <c r="A13" s="37" t="s">
        <v>11</v>
      </c>
      <c r="B13" s="38">
        <f aca="true" t="shared" si="0" ref="B13:Q13">SUM(B7:B12)</f>
        <v>15066358</v>
      </c>
      <c r="C13" s="39">
        <f t="shared" si="0"/>
        <v>2306802.8899999997</v>
      </c>
      <c r="D13" s="38">
        <f t="shared" si="0"/>
        <v>228700</v>
      </c>
      <c r="E13" s="39">
        <f t="shared" si="0"/>
        <v>10452.730000000001</v>
      </c>
      <c r="F13" s="38">
        <f t="shared" si="0"/>
        <v>5460871</v>
      </c>
      <c r="G13" s="39">
        <f t="shared" si="0"/>
        <v>1003410.49</v>
      </c>
      <c r="H13" s="38">
        <f t="shared" si="0"/>
        <v>7831404</v>
      </c>
      <c r="I13" s="39">
        <f t="shared" si="0"/>
        <v>630046.21</v>
      </c>
      <c r="J13" s="38">
        <f t="shared" si="0"/>
        <v>152500</v>
      </c>
      <c r="K13" s="39">
        <f>SUM(K7:K12)</f>
        <v>2402.52</v>
      </c>
      <c r="L13" s="38">
        <f>SUM(L7:L12)</f>
        <v>250000</v>
      </c>
      <c r="M13" s="39">
        <f>SUM(M7:M12)</f>
        <v>4101</v>
      </c>
      <c r="N13" s="38">
        <f t="shared" si="0"/>
        <v>1000000</v>
      </c>
      <c r="O13" s="39">
        <f>SUM(O7:O12)</f>
        <v>918572.38</v>
      </c>
      <c r="P13" s="41">
        <f t="shared" si="0"/>
        <v>4875788.220000001</v>
      </c>
      <c r="Q13" s="41">
        <f t="shared" si="0"/>
        <v>25114044.78</v>
      </c>
      <c r="R13" s="5"/>
    </row>
    <row r="14" spans="1:17" ht="17.25" thickBot="1">
      <c r="A14" s="42" t="s">
        <v>30</v>
      </c>
      <c r="B14" s="43"/>
      <c r="C14" s="137">
        <f>+C13/B13</f>
        <v>0.1531095232172234</v>
      </c>
      <c r="D14" s="44"/>
      <c r="E14" s="137">
        <f>+E13/D13</f>
        <v>0.045704984696108446</v>
      </c>
      <c r="F14" s="44"/>
      <c r="G14" s="137">
        <f>+G13/F13</f>
        <v>0.183745503235656</v>
      </c>
      <c r="H14" s="44"/>
      <c r="I14" s="137">
        <f>+I13/H13</f>
        <v>0.08045124603455522</v>
      </c>
      <c r="J14" s="44"/>
      <c r="K14" s="45">
        <f>+K13/J13</f>
        <v>0.015754229508196722</v>
      </c>
      <c r="L14" s="46"/>
      <c r="M14" s="46">
        <f>+M13/L13</f>
        <v>0.016404</v>
      </c>
      <c r="N14" s="44"/>
      <c r="O14" s="139">
        <f>+O13/N13</f>
        <v>0.91857238</v>
      </c>
      <c r="P14" s="57"/>
      <c r="Q14" s="5"/>
    </row>
    <row r="15" spans="1:16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38"/>
    </row>
    <row r="32" spans="5:8" ht="16.5">
      <c r="E32" s="58"/>
      <c r="F32" s="58"/>
      <c r="G32" s="59"/>
      <c r="H32" s="59"/>
    </row>
    <row r="33" spans="5:8" ht="16.5">
      <c r="E33" s="60"/>
      <c r="F33" s="60"/>
      <c r="G33" s="60"/>
      <c r="H33" s="60"/>
    </row>
    <row r="38" spans="1:6" ht="16.5">
      <c r="A38" s="52"/>
      <c r="B38" s="52"/>
      <c r="C38" s="52"/>
      <c r="D38" s="52"/>
      <c r="E38" s="52"/>
      <c r="F38" s="52"/>
    </row>
    <row r="39" ht="16.5">
      <c r="C39" s="47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3:6" ht="16.5"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7" spans="1:5" ht="16.5">
      <c r="A47" s="61" t="s">
        <v>26</v>
      </c>
      <c r="B47" s="61" t="s">
        <v>27</v>
      </c>
      <c r="C47" s="61" t="s">
        <v>28</v>
      </c>
      <c r="D47" s="61"/>
      <c r="E47" s="62"/>
    </row>
    <row r="48" spans="1:3" ht="17.25">
      <c r="A48" s="63">
        <f>+B13</f>
        <v>15066358</v>
      </c>
      <c r="B48" s="64">
        <f>+C13</f>
        <v>2306802.8899999997</v>
      </c>
      <c r="C48" s="61" t="s">
        <v>1</v>
      </c>
    </row>
    <row r="49" spans="1:3" ht="17.25">
      <c r="A49" s="63">
        <f>+D13</f>
        <v>228700</v>
      </c>
      <c r="B49" s="64">
        <f>+E13</f>
        <v>10452.730000000001</v>
      </c>
      <c r="C49" s="61" t="s">
        <v>2</v>
      </c>
    </row>
    <row r="50" spans="1:3" ht="17.25">
      <c r="A50" s="63">
        <f>+F13</f>
        <v>5460871</v>
      </c>
      <c r="B50" s="64">
        <f>+G13</f>
        <v>1003410.49</v>
      </c>
      <c r="C50" s="61" t="s">
        <v>3</v>
      </c>
    </row>
    <row r="51" spans="1:3" ht="17.25">
      <c r="A51" s="63">
        <f>+H13</f>
        <v>7831404</v>
      </c>
      <c r="B51" s="64">
        <f>+I13</f>
        <v>630046.21</v>
      </c>
      <c r="C51" s="61" t="s">
        <v>34</v>
      </c>
    </row>
    <row r="52" spans="1:3" ht="17.25">
      <c r="A52" s="63">
        <f>+J13</f>
        <v>152500</v>
      </c>
      <c r="B52" s="64">
        <f>+K13</f>
        <v>2402.52</v>
      </c>
      <c r="C52" s="61" t="s">
        <v>32</v>
      </c>
    </row>
    <row r="53" spans="1:3" ht="17.25">
      <c r="A53" s="65">
        <f>+L13</f>
        <v>250000</v>
      </c>
      <c r="B53" s="64">
        <f>+M13</f>
        <v>4101</v>
      </c>
      <c r="C53" s="61" t="s">
        <v>95</v>
      </c>
    </row>
    <row r="54" spans="1:3" ht="17.25">
      <c r="A54" s="63">
        <f>+N13</f>
        <v>1000000</v>
      </c>
      <c r="B54" s="64">
        <f>+O13</f>
        <v>918572.38</v>
      </c>
      <c r="C54" s="61" t="s">
        <v>35</v>
      </c>
    </row>
    <row r="55" spans="1:3" ht="17.25">
      <c r="A55" s="63"/>
      <c r="B55" s="63"/>
      <c r="C55" s="61"/>
    </row>
    <row r="56" spans="1:2" ht="16.5">
      <c r="A56" s="1">
        <v>2809993</v>
      </c>
      <c r="B56" s="5">
        <v>749308.3</v>
      </c>
    </row>
  </sheetData>
  <sheetProtection/>
  <mergeCells count="10">
    <mergeCell ref="B2:F2"/>
    <mergeCell ref="I2:J2"/>
    <mergeCell ref="B3:C3"/>
    <mergeCell ref="N5:O5"/>
    <mergeCell ref="J5:K5"/>
    <mergeCell ref="B5:C5"/>
    <mergeCell ref="D5:E5"/>
    <mergeCell ref="F5:G5"/>
    <mergeCell ref="H5:I5"/>
    <mergeCell ref="L5:M5"/>
  </mergeCells>
  <printOptions/>
  <pageMargins left="0.6299212598425197" right="0.5511811023622047" top="0.9448818897637796" bottom="0.5905511811023623" header="0.31496062992125984" footer="0"/>
  <pageSetup horizontalDpi="600" verticalDpi="600" orientation="landscape" paperSize="5" r:id="rId2"/>
  <headerFooter alignWithMargins="0">
    <oddHeader>&amp;R&amp;"Palatino Linotype,Normal"&amp;10CONTADURIA MUNICIPAL</oddHeader>
    <oddFooter>&amp;L&amp;"Gill Sans MT Shadow,Regular"&amp;8&amp;D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1">
      <selection activeCell="P14" sqref="P14"/>
    </sheetView>
  </sheetViews>
  <sheetFormatPr defaultColWidth="11.421875" defaultRowHeight="15"/>
  <cols>
    <col min="1" max="1" width="13.421875" style="1" customWidth="1"/>
    <col min="2" max="2" width="9.28125" style="1" customWidth="1"/>
    <col min="3" max="3" width="12.00390625" style="1" customWidth="1"/>
    <col min="4" max="4" width="7.8515625" style="1" customWidth="1"/>
    <col min="5" max="5" width="9.57421875" style="1" customWidth="1"/>
    <col min="6" max="6" width="9.421875" style="1" customWidth="1"/>
    <col min="7" max="7" width="10.28125" style="1" customWidth="1"/>
    <col min="8" max="8" width="8.00390625" style="1" customWidth="1"/>
    <col min="9" max="9" width="10.421875" style="1" customWidth="1"/>
    <col min="10" max="11" width="8.140625" style="1" customWidth="1"/>
    <col min="12" max="12" width="10.140625" style="1" customWidth="1"/>
    <col min="13" max="13" width="12.00390625" style="1" customWidth="1"/>
    <col min="14" max="14" width="9.28125" style="1" customWidth="1"/>
    <col min="15" max="15" width="12.57421875" style="1" customWidth="1"/>
    <col min="16" max="16" width="12.003906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108</v>
      </c>
      <c r="C2" s="184"/>
      <c r="D2" s="184"/>
      <c r="E2" s="172"/>
      <c r="F2" s="172"/>
      <c r="L2" s="176" t="s">
        <v>23</v>
      </c>
      <c r="M2" s="177"/>
      <c r="N2" s="149">
        <v>41306</v>
      </c>
      <c r="O2" s="55"/>
    </row>
    <row r="3" spans="2:4" ht="16.5">
      <c r="B3" s="182"/>
      <c r="C3" s="183"/>
      <c r="D3" s="183"/>
    </row>
    <row r="4" ht="17.25" thickBot="1"/>
    <row r="5" spans="1:17" ht="17.25">
      <c r="A5" s="24"/>
      <c r="B5" s="174" t="s">
        <v>1</v>
      </c>
      <c r="C5" s="175"/>
      <c r="D5" s="174" t="s">
        <v>2</v>
      </c>
      <c r="E5" s="175"/>
      <c r="F5" s="174" t="s">
        <v>3</v>
      </c>
      <c r="G5" s="175"/>
      <c r="H5" s="174" t="s">
        <v>4</v>
      </c>
      <c r="I5" s="175"/>
      <c r="J5" s="174" t="s">
        <v>81</v>
      </c>
      <c r="K5" s="175"/>
      <c r="L5" s="174" t="s">
        <v>36</v>
      </c>
      <c r="M5" s="175"/>
      <c r="N5" s="174" t="s">
        <v>33</v>
      </c>
      <c r="O5" s="175"/>
      <c r="P5" s="25" t="s">
        <v>5</v>
      </c>
      <c r="Q5" s="25" t="s">
        <v>38</v>
      </c>
    </row>
    <row r="6" spans="1:17" ht="17.25">
      <c r="A6" s="26"/>
      <c r="B6" s="27" t="s">
        <v>31</v>
      </c>
      <c r="C6" s="27" t="s">
        <v>37</v>
      </c>
      <c r="D6" s="27" t="s">
        <v>31</v>
      </c>
      <c r="E6" s="27" t="s">
        <v>37</v>
      </c>
      <c r="F6" s="27" t="s">
        <v>31</v>
      </c>
      <c r="G6" s="27" t="s">
        <v>37</v>
      </c>
      <c r="H6" s="27" t="s">
        <v>31</v>
      </c>
      <c r="I6" s="27" t="s">
        <v>37</v>
      </c>
      <c r="J6" s="27" t="s">
        <v>31</v>
      </c>
      <c r="K6" s="27" t="s">
        <v>37</v>
      </c>
      <c r="L6" s="27" t="s">
        <v>31</v>
      </c>
      <c r="M6" s="27" t="s">
        <v>37</v>
      </c>
      <c r="N6" s="27" t="s">
        <v>31</v>
      </c>
      <c r="O6" s="27" t="s">
        <v>37</v>
      </c>
      <c r="P6" s="124" t="s">
        <v>25</v>
      </c>
      <c r="Q6" s="29" t="s">
        <v>39</v>
      </c>
    </row>
    <row r="7" spans="1:18" ht="17.25">
      <c r="A7" s="30" t="s">
        <v>14</v>
      </c>
      <c r="B7" s="31">
        <v>866975</v>
      </c>
      <c r="C7" s="32">
        <f>22932.2+311891.33+8517.52+3853.44+36119.19+20835.48</f>
        <v>404149.16000000003</v>
      </c>
      <c r="D7" s="31">
        <v>36000</v>
      </c>
      <c r="E7" s="32">
        <f>257.84+963.05</f>
        <v>1220.8899999999999</v>
      </c>
      <c r="F7" s="31">
        <v>559243</v>
      </c>
      <c r="G7" s="32">
        <f>5419.26+61703.51+190+2600</f>
        <v>69912.77</v>
      </c>
      <c r="H7" s="31">
        <v>260921</v>
      </c>
      <c r="I7" s="36">
        <v>350550</v>
      </c>
      <c r="J7" s="31">
        <v>20000</v>
      </c>
      <c r="K7" s="32">
        <v>0</v>
      </c>
      <c r="L7" s="31">
        <v>0</v>
      </c>
      <c r="M7" s="32">
        <v>386660.97</v>
      </c>
      <c r="N7" s="31">
        <v>1800000</v>
      </c>
      <c r="O7" s="32">
        <v>113451.11</v>
      </c>
      <c r="P7" s="33">
        <f>+O7+M7+K7+G7+E7+C7+I7</f>
        <v>1325944.9</v>
      </c>
      <c r="Q7" s="33">
        <f>+B7+D7+F7+J7+L7+N7-P7+H7</f>
        <v>2217194.1</v>
      </c>
      <c r="R7" s="5"/>
    </row>
    <row r="8" spans="1:17" ht="17.25">
      <c r="A8" s="30" t="s">
        <v>13</v>
      </c>
      <c r="B8" s="31">
        <v>2631326</v>
      </c>
      <c r="C8" s="32">
        <f>64619.87+89727.93+82655.52+46922.26+51682.89+29320.7+5117.87+4146.3</f>
        <v>374193.34</v>
      </c>
      <c r="D8" s="31">
        <v>15500</v>
      </c>
      <c r="E8" s="32">
        <f>257.84+144</f>
        <v>401.84</v>
      </c>
      <c r="F8" s="78">
        <v>243148</v>
      </c>
      <c r="G8" s="79">
        <f>105.64+28260.18</f>
        <v>28365.82</v>
      </c>
      <c r="H8" s="80">
        <v>0</v>
      </c>
      <c r="I8" s="81">
        <v>0</v>
      </c>
      <c r="J8" s="78">
        <v>133500</v>
      </c>
      <c r="K8" s="79">
        <v>144</v>
      </c>
      <c r="L8" s="82">
        <v>0</v>
      </c>
      <c r="M8" s="79">
        <v>3</v>
      </c>
      <c r="N8" s="82">
        <v>0</v>
      </c>
      <c r="O8" s="79">
        <v>135820.43</v>
      </c>
      <c r="P8" s="33">
        <f>+O8+M8+K8+G8+E8+C8</f>
        <v>538928.43</v>
      </c>
      <c r="Q8" s="33">
        <f>+B8+D8+F8+J8+L8+N8-P8+H8</f>
        <v>2484545.57</v>
      </c>
    </row>
    <row r="9" spans="1:18" ht="17.25">
      <c r="A9" s="30" t="s">
        <v>12</v>
      </c>
      <c r="B9" s="31">
        <v>1956164</v>
      </c>
      <c r="C9" s="32">
        <f>46512.39+45387.2+23141.37+4043+12309.98</f>
        <v>131393.94</v>
      </c>
      <c r="D9" s="31">
        <v>74600</v>
      </c>
      <c r="E9" s="32">
        <f>671.76+4699.78</f>
        <v>5371.54</v>
      </c>
      <c r="F9" s="31">
        <v>103000</v>
      </c>
      <c r="G9" s="32">
        <f>2689+5855.12</f>
        <v>8544.119999999999</v>
      </c>
      <c r="H9" s="31">
        <v>0</v>
      </c>
      <c r="I9" s="36">
        <v>0</v>
      </c>
      <c r="J9" s="31">
        <v>70500</v>
      </c>
      <c r="K9" s="32">
        <v>0</v>
      </c>
      <c r="L9" s="31">
        <v>18255000</v>
      </c>
      <c r="M9" s="32">
        <f>20023.85+306569.08+40794.35+28236.66</f>
        <v>395623.93999999994</v>
      </c>
      <c r="N9" s="31">
        <v>0</v>
      </c>
      <c r="O9" s="32">
        <f>1207607.79+106488.41</f>
        <v>1314096.2</v>
      </c>
      <c r="P9" s="33">
        <f>+O9+M9+K9+G9+E9+C9+I9</f>
        <v>1855029.74</v>
      </c>
      <c r="Q9" s="33">
        <f>+B9+D9+F9+J9+L9+N9-P9+H9</f>
        <v>18604234.26</v>
      </c>
      <c r="R9" s="5"/>
    </row>
    <row r="10" spans="1:18" ht="17.25">
      <c r="A10" s="30" t="s">
        <v>80</v>
      </c>
      <c r="B10" s="31">
        <v>3908391</v>
      </c>
      <c r="C10" s="32">
        <f>72153.96+73944.67+10604.07+6131.26+50745.95+23898.96+4925.7</f>
        <v>242404.57000000004</v>
      </c>
      <c r="D10" s="31">
        <v>259000</v>
      </c>
      <c r="E10" s="32">
        <f>20596.47+9897.19</f>
        <v>30493.660000000003</v>
      </c>
      <c r="F10" s="31">
        <v>1896687</v>
      </c>
      <c r="G10" s="32">
        <f>6998.64+138072.45+6759.47</f>
        <v>151830.56000000003</v>
      </c>
      <c r="H10" s="31">
        <v>0</v>
      </c>
      <c r="I10" s="36">
        <v>0</v>
      </c>
      <c r="J10" s="31">
        <v>200000</v>
      </c>
      <c r="K10" s="32">
        <v>0</v>
      </c>
      <c r="L10" s="31">
        <v>9737170</v>
      </c>
      <c r="M10" s="32">
        <f>163998.79+310531.99+553.51</f>
        <v>475084.29000000004</v>
      </c>
      <c r="N10" s="31">
        <v>0</v>
      </c>
      <c r="O10" s="32">
        <v>441690.11</v>
      </c>
      <c r="P10" s="33">
        <f>+O10+M10+K10+I10+G10+E10+C10</f>
        <v>1341503.19</v>
      </c>
      <c r="Q10" s="33">
        <f>+N10+L10+J10+H10+F10+D10+B10-P10</f>
        <v>14659744.81</v>
      </c>
      <c r="R10" s="5"/>
    </row>
    <row r="11" spans="1:17" ht="9" customHeight="1">
      <c r="A11" s="30"/>
      <c r="B11" s="34"/>
      <c r="C11" s="32"/>
      <c r="D11" s="31"/>
      <c r="E11" s="32"/>
      <c r="F11" s="31"/>
      <c r="G11" s="32"/>
      <c r="H11" s="36"/>
      <c r="I11" s="36"/>
      <c r="J11" s="31"/>
      <c r="K11" s="32"/>
      <c r="L11" s="31"/>
      <c r="M11" s="32"/>
      <c r="N11" s="31"/>
      <c r="O11" s="32"/>
      <c r="P11" s="33"/>
      <c r="Q11" s="83"/>
    </row>
    <row r="12" spans="1:17" ht="18" thickBot="1">
      <c r="A12" s="37" t="s">
        <v>11</v>
      </c>
      <c r="B12" s="38">
        <f aca="true" t="shared" si="0" ref="B12:Q12">SUM(B7:B11)</f>
        <v>9362856</v>
      </c>
      <c r="C12" s="39">
        <f t="shared" si="0"/>
        <v>1152141.01</v>
      </c>
      <c r="D12" s="38">
        <f t="shared" si="0"/>
        <v>385100</v>
      </c>
      <c r="E12" s="39">
        <f t="shared" si="0"/>
        <v>37487.93</v>
      </c>
      <c r="F12" s="38">
        <f t="shared" si="0"/>
        <v>2802078</v>
      </c>
      <c r="G12" s="39">
        <f t="shared" si="0"/>
        <v>258653.27000000002</v>
      </c>
      <c r="H12" s="38">
        <f t="shared" si="0"/>
        <v>260921</v>
      </c>
      <c r="I12" s="40">
        <f t="shared" si="0"/>
        <v>350550</v>
      </c>
      <c r="J12" s="38">
        <f t="shared" si="0"/>
        <v>424000</v>
      </c>
      <c r="K12" s="39">
        <f t="shared" si="0"/>
        <v>144</v>
      </c>
      <c r="L12" s="38">
        <f t="shared" si="0"/>
        <v>27992170</v>
      </c>
      <c r="M12" s="39">
        <f t="shared" si="0"/>
        <v>1257372.2</v>
      </c>
      <c r="N12" s="38">
        <f t="shared" si="0"/>
        <v>1800000</v>
      </c>
      <c r="O12" s="39">
        <f t="shared" si="0"/>
        <v>2005057.85</v>
      </c>
      <c r="P12" s="41">
        <f t="shared" si="0"/>
        <v>5061406.26</v>
      </c>
      <c r="Q12" s="41">
        <f t="shared" si="0"/>
        <v>37965718.74</v>
      </c>
    </row>
    <row r="13" spans="1:17" ht="17.25" thickBot="1">
      <c r="A13" s="42" t="s">
        <v>30</v>
      </c>
      <c r="B13" s="43"/>
      <c r="C13" s="137">
        <f>+C12/B12</f>
        <v>0.12305444086718839</v>
      </c>
      <c r="D13" s="44"/>
      <c r="E13" s="137">
        <f>+E12/D12</f>
        <v>0.09734596208776941</v>
      </c>
      <c r="F13" s="44"/>
      <c r="G13" s="137">
        <f>+G12/F12</f>
        <v>0.09230766238484439</v>
      </c>
      <c r="H13" s="44"/>
      <c r="I13" s="45">
        <f>+I12/H12</f>
        <v>1.3435101045910447</v>
      </c>
      <c r="J13" s="44"/>
      <c r="K13" s="45">
        <f>+K12/J12</f>
        <v>0.000339622641509434</v>
      </c>
      <c r="L13" s="44"/>
      <c r="M13" s="137">
        <f>+M12/L12</f>
        <v>0.04491871119673823</v>
      </c>
      <c r="N13" s="46"/>
      <c r="O13" s="139">
        <f>+O12/N12</f>
        <v>1.1139210277777778</v>
      </c>
      <c r="P13" s="57"/>
      <c r="Q13" s="5"/>
    </row>
    <row r="14" spans="12:17" ht="16.5">
      <c r="L14" s="77"/>
      <c r="P14" s="51"/>
      <c r="Q14" s="5"/>
    </row>
    <row r="15" ht="16.5">
      <c r="P15" s="5"/>
    </row>
    <row r="37" spans="1:6" ht="16.5">
      <c r="A37" s="52"/>
      <c r="B37" s="52"/>
      <c r="C37" s="52"/>
      <c r="D37" s="52"/>
      <c r="E37" s="52"/>
      <c r="F37" s="52"/>
    </row>
    <row r="39" spans="3:6" ht="17.25">
      <c r="C39" s="64"/>
      <c r="D39" s="5"/>
      <c r="E39" s="52"/>
      <c r="F39" s="52"/>
    </row>
    <row r="40" spans="3:6" ht="17.25">
      <c r="C40" s="64"/>
      <c r="D40" s="5"/>
      <c r="E40" s="52"/>
      <c r="F40" s="52"/>
    </row>
    <row r="41" spans="3:6" ht="17.25">
      <c r="C41" s="64"/>
      <c r="D41" s="5"/>
      <c r="E41" s="52"/>
      <c r="F41" s="52"/>
    </row>
    <row r="42" spans="3:6" ht="17.25">
      <c r="C42" s="64"/>
      <c r="D42" s="5"/>
      <c r="E42" s="52"/>
      <c r="F42" s="52"/>
    </row>
    <row r="43" spans="3:6" ht="17.25">
      <c r="C43" s="64"/>
      <c r="D43" s="5"/>
      <c r="E43" s="52"/>
      <c r="F43" s="52"/>
    </row>
    <row r="44" spans="3:6" ht="17.25">
      <c r="C44" s="64"/>
      <c r="D44" s="5"/>
      <c r="E44" s="52"/>
      <c r="F44" s="52"/>
    </row>
    <row r="45" ht="17.25">
      <c r="C45" s="63"/>
    </row>
    <row r="48" spans="4:5" ht="16.5">
      <c r="D48" s="61"/>
      <c r="E48" s="61"/>
    </row>
    <row r="49" spans="1:5" ht="16.5">
      <c r="A49" s="61" t="s">
        <v>26</v>
      </c>
      <c r="B49" s="61" t="s">
        <v>27</v>
      </c>
      <c r="C49" s="61" t="s">
        <v>28</v>
      </c>
      <c r="D49" s="61"/>
      <c r="E49" s="61"/>
    </row>
    <row r="50" spans="1:3" ht="17.25">
      <c r="A50" s="63">
        <f>+B12</f>
        <v>9362856</v>
      </c>
      <c r="B50" s="64">
        <f>+C12</f>
        <v>1152141.01</v>
      </c>
      <c r="C50" s="61" t="s">
        <v>1</v>
      </c>
    </row>
    <row r="51" spans="1:3" ht="17.25">
      <c r="A51" s="63">
        <f>+D12</f>
        <v>385100</v>
      </c>
      <c r="B51" s="64">
        <f>+E12</f>
        <v>37487.93</v>
      </c>
      <c r="C51" s="61" t="s">
        <v>2</v>
      </c>
    </row>
    <row r="52" spans="1:3" ht="17.25">
      <c r="A52" s="63">
        <f>+F12</f>
        <v>2802078</v>
      </c>
      <c r="B52" s="64">
        <f>+G12</f>
        <v>258653.27000000002</v>
      </c>
      <c r="C52" s="61" t="s">
        <v>3</v>
      </c>
    </row>
    <row r="53" spans="1:3" ht="17.25">
      <c r="A53" s="65">
        <f>+H12</f>
        <v>260921</v>
      </c>
      <c r="B53" s="64">
        <f>+I12</f>
        <v>350550</v>
      </c>
      <c r="C53" s="61" t="s">
        <v>34</v>
      </c>
    </row>
    <row r="54" spans="1:3" ht="17.25">
      <c r="A54" s="63">
        <f>+J12</f>
        <v>424000</v>
      </c>
      <c r="B54" s="64">
        <f>+K12</f>
        <v>144</v>
      </c>
      <c r="C54" s="61" t="s">
        <v>32</v>
      </c>
    </row>
    <row r="55" spans="1:3" ht="17.25">
      <c r="A55" s="63">
        <f>+L12</f>
        <v>27992170</v>
      </c>
      <c r="B55" s="64">
        <f>+M12</f>
        <v>1257372.2</v>
      </c>
      <c r="C55" s="61" t="s">
        <v>29</v>
      </c>
    </row>
    <row r="56" spans="1:3" ht="17.25">
      <c r="A56" s="63">
        <f>+N12</f>
        <v>1800000</v>
      </c>
      <c r="B56" s="64">
        <f>+O12</f>
        <v>2005057.85</v>
      </c>
      <c r="C56" s="61" t="s">
        <v>35</v>
      </c>
    </row>
    <row r="57" spans="1:2" ht="17.25">
      <c r="A57" s="63">
        <v>2832908</v>
      </c>
      <c r="B57" s="64">
        <v>692231.2</v>
      </c>
    </row>
    <row r="58" spans="1:2" ht="17.25">
      <c r="A58" s="63"/>
      <c r="B58" s="63"/>
    </row>
    <row r="59" spans="1:2" ht="17.25">
      <c r="A59" s="63"/>
      <c r="B59" s="63"/>
    </row>
  </sheetData>
  <sheetProtection/>
  <mergeCells count="10">
    <mergeCell ref="L2:M2"/>
    <mergeCell ref="B3:D3"/>
    <mergeCell ref="L5:M5"/>
    <mergeCell ref="N5:O5"/>
    <mergeCell ref="B5:C5"/>
    <mergeCell ref="D5:E5"/>
    <mergeCell ref="F5:G5"/>
    <mergeCell ref="J5:K5"/>
    <mergeCell ref="H5:I5"/>
    <mergeCell ref="B2:F2"/>
  </mergeCells>
  <printOptions/>
  <pageMargins left="0.7874015748031497" right="0.4724409448818898" top="1.0236220472440944" bottom="0.5118110236220472" header="0.3149606299212598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8.57421875" style="1" customWidth="1"/>
    <col min="2" max="2" width="10.7109375" style="1" customWidth="1"/>
    <col min="3" max="3" width="12.28125" style="1" customWidth="1"/>
    <col min="4" max="4" width="7.8515625" style="1" customWidth="1"/>
    <col min="5" max="5" width="9.57421875" style="1" customWidth="1"/>
    <col min="6" max="6" width="9.421875" style="1" customWidth="1"/>
    <col min="7" max="7" width="12.00390625" style="1" customWidth="1"/>
    <col min="8" max="8" width="7.140625" style="1" customWidth="1"/>
    <col min="9" max="9" width="9.00390625" style="1" customWidth="1"/>
    <col min="10" max="10" width="7.57421875" style="1" customWidth="1"/>
    <col min="11" max="11" width="9.8515625" style="1" customWidth="1"/>
    <col min="12" max="12" width="7.140625" style="1" customWidth="1"/>
    <col min="13" max="13" width="9.28125" style="1" customWidth="1"/>
    <col min="14" max="14" width="7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3.8515625" style="1" bestFit="1" customWidth="1"/>
    <col min="19" max="16384" width="11.421875" style="1" customWidth="1"/>
  </cols>
  <sheetData>
    <row r="2" spans="1:15" ht="18">
      <c r="A2" s="144" t="s">
        <v>0</v>
      </c>
      <c r="B2" s="167" t="s">
        <v>109</v>
      </c>
      <c r="C2" s="184"/>
      <c r="D2" s="184"/>
      <c r="E2" s="184"/>
      <c r="F2" s="179"/>
      <c r="G2" s="179"/>
      <c r="H2" s="179"/>
      <c r="I2" s="180"/>
      <c r="J2" s="20"/>
      <c r="K2" s="176" t="s">
        <v>23</v>
      </c>
      <c r="L2" s="177"/>
      <c r="M2" s="149">
        <v>41306</v>
      </c>
      <c r="O2" s="55"/>
    </row>
    <row r="3" spans="2:16" ht="16.5">
      <c r="B3" s="182"/>
      <c r="C3" s="183"/>
      <c r="D3" s="183"/>
      <c r="E3" s="183"/>
      <c r="F3" s="66"/>
      <c r="P3" s="84"/>
    </row>
    <row r="5" ht="17.25" thickBot="1"/>
    <row r="6" spans="1:17" ht="17.25">
      <c r="A6" s="24"/>
      <c r="B6" s="174" t="s">
        <v>1</v>
      </c>
      <c r="C6" s="175"/>
      <c r="D6" s="174" t="s">
        <v>2</v>
      </c>
      <c r="E6" s="175"/>
      <c r="F6" s="174" t="s">
        <v>3</v>
      </c>
      <c r="G6" s="175"/>
      <c r="H6" s="174" t="s">
        <v>4</v>
      </c>
      <c r="I6" s="175"/>
      <c r="J6" s="174" t="s">
        <v>32</v>
      </c>
      <c r="K6" s="175"/>
      <c r="L6" s="174" t="s">
        <v>36</v>
      </c>
      <c r="M6" s="175"/>
      <c r="N6" s="174" t="s">
        <v>33</v>
      </c>
      <c r="O6" s="175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85" t="s">
        <v>14</v>
      </c>
      <c r="B8" s="31">
        <v>1017388</v>
      </c>
      <c r="C8" s="32">
        <f>49094.01+368963.99+12241.76+30454.21+18251.15</f>
        <v>479005.12000000005</v>
      </c>
      <c r="D8" s="31">
        <v>46500</v>
      </c>
      <c r="E8" s="32">
        <f>4974.02+1354.01</f>
        <v>6328.030000000001</v>
      </c>
      <c r="F8" s="31">
        <v>1058900</v>
      </c>
      <c r="G8" s="32">
        <f>36241.38+139870.65</f>
        <v>176112.03</v>
      </c>
      <c r="H8" s="31">
        <v>3000</v>
      </c>
      <c r="I8" s="32">
        <v>0</v>
      </c>
      <c r="J8" s="31">
        <v>610000</v>
      </c>
      <c r="K8" s="32">
        <v>0</v>
      </c>
      <c r="L8" s="31">
        <v>0</v>
      </c>
      <c r="M8" s="36">
        <v>908.14</v>
      </c>
      <c r="N8" s="31">
        <v>800000</v>
      </c>
      <c r="O8" s="32">
        <v>100259.55</v>
      </c>
      <c r="P8" s="33">
        <f>+O8+K8+G8+E8+C8+I8+M8</f>
        <v>762612.8700000001</v>
      </c>
      <c r="Q8" s="33">
        <f>+B8+D8+F8+H8+J8+N8-P8</f>
        <v>2773175.13</v>
      </c>
      <c r="R8" s="5"/>
    </row>
    <row r="9" spans="1:18" ht="17.25">
      <c r="A9" s="85" t="s">
        <v>89</v>
      </c>
      <c r="B9" s="31">
        <v>4762592</v>
      </c>
      <c r="C9" s="32">
        <f>48172.08+40241.41+149529.6+82728.81+99607.58+55612.01+145967.7+74466.41</f>
        <v>696325.6000000001</v>
      </c>
      <c r="D9" s="31">
        <v>111500</v>
      </c>
      <c r="E9" s="32">
        <f>1278.73+5707.27</f>
        <v>6986</v>
      </c>
      <c r="F9" s="31">
        <v>326300</v>
      </c>
      <c r="G9" s="32">
        <f>11691.63+542.21+703.23</f>
        <v>12937.07</v>
      </c>
      <c r="H9" s="31">
        <v>0</v>
      </c>
      <c r="I9" s="32">
        <v>0</v>
      </c>
      <c r="J9" s="31">
        <v>53350</v>
      </c>
      <c r="K9" s="32">
        <v>0</v>
      </c>
      <c r="L9" s="31">
        <v>0</v>
      </c>
      <c r="M9" s="36">
        <v>0</v>
      </c>
      <c r="N9" s="31">
        <v>0</v>
      </c>
      <c r="O9" s="32">
        <v>260517.18</v>
      </c>
      <c r="P9" s="33">
        <f>+O9+K9+G9+E9+C9+M9</f>
        <v>976765.8500000001</v>
      </c>
      <c r="Q9" s="33">
        <f>+B9+D9+F9+H9+J9+N9-P9</f>
        <v>4276976.15</v>
      </c>
      <c r="R9" s="5"/>
    </row>
    <row r="10" spans="1:18" ht="17.25">
      <c r="A10" s="85" t="s">
        <v>88</v>
      </c>
      <c r="B10" s="31">
        <v>5997223</v>
      </c>
      <c r="C10" s="32">
        <f>84618.28+113183.62+15388.76+8982.42+459394.67+174382.13</f>
        <v>855949.88</v>
      </c>
      <c r="D10" s="31">
        <v>148150</v>
      </c>
      <c r="E10" s="32">
        <f>5295+17707.5</f>
        <v>23002.5</v>
      </c>
      <c r="F10" s="31">
        <v>5623200</v>
      </c>
      <c r="G10" s="32">
        <f>286471.97+1122612.43-217.01+9300</f>
        <v>1418167.39</v>
      </c>
      <c r="H10" s="31">
        <v>0</v>
      </c>
      <c r="I10" s="32">
        <v>0</v>
      </c>
      <c r="J10" s="31">
        <v>80000</v>
      </c>
      <c r="K10" s="32">
        <v>0</v>
      </c>
      <c r="L10" s="31">
        <v>0</v>
      </c>
      <c r="M10" s="36">
        <v>0</v>
      </c>
      <c r="N10" s="31">
        <v>0</v>
      </c>
      <c r="O10" s="32">
        <v>1546827.01</v>
      </c>
      <c r="P10" s="33">
        <f>+O10+K10+G10+E10+C10+M10+I10</f>
        <v>3843946.78</v>
      </c>
      <c r="Q10" s="33">
        <f>+B10+D10+F10+H10+J10+N10-P10</f>
        <v>8004626.220000001</v>
      </c>
      <c r="R10" s="5"/>
    </row>
    <row r="11" spans="1:18" ht="17.25">
      <c r="A11" s="85" t="s">
        <v>90</v>
      </c>
      <c r="B11" s="31">
        <v>5923625</v>
      </c>
      <c r="C11" s="32">
        <f>24855.8+82386.56+483729.48+181151.87+21610.79+12348.07</f>
        <v>806082.57</v>
      </c>
      <c r="D11" s="31">
        <v>353000</v>
      </c>
      <c r="E11" s="32">
        <f>9965.23+24732.17</f>
        <v>34697.399999999994</v>
      </c>
      <c r="F11" s="31">
        <v>455500</v>
      </c>
      <c r="G11" s="32">
        <f>10700+97499.83</f>
        <v>108199.83</v>
      </c>
      <c r="H11" s="31">
        <v>3000</v>
      </c>
      <c r="I11" s="32">
        <v>0</v>
      </c>
      <c r="J11" s="31">
        <v>190000</v>
      </c>
      <c r="K11" s="32">
        <f>54380.02+5880</f>
        <v>60260.02</v>
      </c>
      <c r="L11" s="31">
        <v>0</v>
      </c>
      <c r="M11" s="36">
        <v>0</v>
      </c>
      <c r="N11" s="31">
        <v>0</v>
      </c>
      <c r="O11" s="32">
        <v>303090.04</v>
      </c>
      <c r="P11" s="33">
        <f>+O11+K11+G11+E11+C11</f>
        <v>1312329.8599999999</v>
      </c>
      <c r="Q11" s="33">
        <f>+B11+D11+F11+H11+J11+N11+L11-P11</f>
        <v>5612795.140000001</v>
      </c>
      <c r="R11" s="5"/>
    </row>
    <row r="12" spans="1:17" ht="9" customHeight="1">
      <c r="A12" s="85"/>
      <c r="B12" s="34"/>
      <c r="C12" s="32"/>
      <c r="D12" s="34"/>
      <c r="E12" s="32"/>
      <c r="F12" s="34"/>
      <c r="G12" s="32"/>
      <c r="H12" s="34"/>
      <c r="I12" s="32"/>
      <c r="J12" s="34"/>
      <c r="K12" s="32"/>
      <c r="L12" s="36"/>
      <c r="M12" s="36"/>
      <c r="N12" s="34"/>
      <c r="O12" s="32"/>
      <c r="P12" s="33"/>
      <c r="Q12" s="33"/>
    </row>
    <row r="13" spans="1:17" ht="18" thickBot="1">
      <c r="A13" s="37" t="s">
        <v>11</v>
      </c>
      <c r="B13" s="38">
        <f aca="true" t="shared" si="0" ref="B13:Q13">SUM(B8:B12)</f>
        <v>17700828</v>
      </c>
      <c r="C13" s="39">
        <f t="shared" si="0"/>
        <v>2837363.17</v>
      </c>
      <c r="D13" s="38">
        <f t="shared" si="0"/>
        <v>659150</v>
      </c>
      <c r="E13" s="39">
        <f t="shared" si="0"/>
        <v>71013.93</v>
      </c>
      <c r="F13" s="38">
        <f t="shared" si="0"/>
        <v>7463900</v>
      </c>
      <c r="G13" s="39">
        <f t="shared" si="0"/>
        <v>1715416.32</v>
      </c>
      <c r="H13" s="38">
        <f t="shared" si="0"/>
        <v>6000</v>
      </c>
      <c r="I13" s="39">
        <f t="shared" si="0"/>
        <v>0</v>
      </c>
      <c r="J13" s="38">
        <f t="shared" si="0"/>
        <v>933350</v>
      </c>
      <c r="K13" s="39">
        <f t="shared" si="0"/>
        <v>60260.02</v>
      </c>
      <c r="L13" s="38">
        <f>SUM(L8:L12)</f>
        <v>0</v>
      </c>
      <c r="M13" s="39">
        <f>SUM(M8:M12)</f>
        <v>908.14</v>
      </c>
      <c r="N13" s="38">
        <f t="shared" si="0"/>
        <v>800000</v>
      </c>
      <c r="O13" s="39">
        <f t="shared" si="0"/>
        <v>2210693.78</v>
      </c>
      <c r="P13" s="86">
        <f t="shared" si="0"/>
        <v>6895655.359999999</v>
      </c>
      <c r="Q13" s="151">
        <f t="shared" si="0"/>
        <v>20667572.64</v>
      </c>
    </row>
    <row r="14" spans="1:17" ht="17.25" thickBot="1">
      <c r="A14" s="37" t="s">
        <v>30</v>
      </c>
      <c r="B14" s="87"/>
      <c r="C14" s="92">
        <f>+C13/B13</f>
        <v>0.16029550538539777</v>
      </c>
      <c r="D14" s="88"/>
      <c r="E14" s="92">
        <f>+E13/D13</f>
        <v>0.10773561404839566</v>
      </c>
      <c r="F14" s="88"/>
      <c r="G14" s="92">
        <f>+G13/F13</f>
        <v>0.22982841677943167</v>
      </c>
      <c r="H14" s="88"/>
      <c r="I14" s="164">
        <f>+I13/H13</f>
        <v>0</v>
      </c>
      <c r="J14" s="164"/>
      <c r="K14" s="164">
        <f>+K13/J13</f>
        <v>0.06456315422938876</v>
      </c>
      <c r="L14" s="89"/>
      <c r="M14" s="46"/>
      <c r="N14" s="44"/>
      <c r="O14" s="139">
        <f>+O13/N13</f>
        <v>2.7633672249999996</v>
      </c>
      <c r="P14" s="57"/>
      <c r="Q14" s="5"/>
    </row>
    <row r="15" spans="1:17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38"/>
      <c r="Q15" s="77"/>
    </row>
    <row r="16" ht="16.5">
      <c r="P16" s="5"/>
    </row>
    <row r="18" ht="16.5">
      <c r="Q18" s="5"/>
    </row>
    <row r="41" spans="1:6" ht="16.5">
      <c r="A41" s="52"/>
      <c r="B41" s="52"/>
      <c r="C41" s="52"/>
      <c r="D41" s="52"/>
      <c r="E41" s="52"/>
      <c r="F41" s="52"/>
    </row>
    <row r="43" spans="3:6" ht="16.5">
      <c r="C43" s="51"/>
      <c r="D43" s="5"/>
      <c r="E43" s="52"/>
      <c r="F43" s="52"/>
    </row>
    <row r="44" spans="4:6" ht="16.5">
      <c r="D44" s="5"/>
      <c r="F44" s="52"/>
    </row>
    <row r="45" spans="1:6" ht="16.5">
      <c r="A45" s="61" t="s">
        <v>26</v>
      </c>
      <c r="B45" s="70" t="s">
        <v>27</v>
      </c>
      <c r="C45" s="90" t="s">
        <v>28</v>
      </c>
      <c r="D45" s="5"/>
      <c r="F45" s="52"/>
    </row>
    <row r="46" spans="1:6" ht="17.25">
      <c r="A46" s="63">
        <f>+B13</f>
        <v>17700828</v>
      </c>
      <c r="B46" s="64">
        <f>+C13</f>
        <v>2837363.17</v>
      </c>
      <c r="C46" s="90" t="s">
        <v>1</v>
      </c>
      <c r="D46" s="5"/>
      <c r="F46" s="52"/>
    </row>
    <row r="47" spans="1:6" ht="17.25">
      <c r="A47" s="63">
        <f>+D13</f>
        <v>659150</v>
      </c>
      <c r="B47" s="64">
        <f>+E13</f>
        <v>71013.93</v>
      </c>
      <c r="C47" s="90" t="s">
        <v>2</v>
      </c>
      <c r="D47" s="5"/>
      <c r="F47" s="52"/>
    </row>
    <row r="48" spans="1:6" ht="17.25">
      <c r="A48" s="63">
        <f>+F13</f>
        <v>7463900</v>
      </c>
      <c r="B48" s="64">
        <f>+G13</f>
        <v>1715416.32</v>
      </c>
      <c r="C48" s="90" t="s">
        <v>3</v>
      </c>
      <c r="D48" s="5"/>
      <c r="F48" s="52"/>
    </row>
    <row r="49" spans="1:6" ht="17.25">
      <c r="A49" s="65">
        <f>+H13</f>
        <v>6000</v>
      </c>
      <c r="B49" s="64">
        <f>+I13</f>
        <v>0</v>
      </c>
      <c r="C49" s="91" t="s">
        <v>34</v>
      </c>
      <c r="D49" s="5"/>
      <c r="F49" s="52"/>
    </row>
    <row r="50" spans="1:3" ht="17.25">
      <c r="A50" s="63">
        <f>+J13</f>
        <v>933350</v>
      </c>
      <c r="B50" s="64">
        <f>+K13</f>
        <v>60260.02</v>
      </c>
      <c r="C50" s="61" t="s">
        <v>32</v>
      </c>
    </row>
    <row r="51" spans="1:3" ht="17.25">
      <c r="A51" s="65">
        <f>+L13</f>
        <v>0</v>
      </c>
      <c r="B51" s="64">
        <f>+M13</f>
        <v>908.14</v>
      </c>
      <c r="C51" s="61" t="s">
        <v>100</v>
      </c>
    </row>
    <row r="52" spans="1:3" ht="17.25">
      <c r="A52" s="63">
        <f>+N13</f>
        <v>800000</v>
      </c>
      <c r="B52" s="64">
        <f>+O13</f>
        <v>2210693.78</v>
      </c>
      <c r="C52" s="61" t="s">
        <v>35</v>
      </c>
    </row>
    <row r="53" spans="2:3" ht="16.5">
      <c r="B53" s="47"/>
      <c r="C53" s="61"/>
    </row>
    <row r="54" spans="1:2" ht="16.5">
      <c r="A54" s="1">
        <v>2161994.87</v>
      </c>
      <c r="B54" s="51">
        <v>623381.8</v>
      </c>
    </row>
  </sheetData>
  <sheetProtection/>
  <mergeCells count="10">
    <mergeCell ref="B2:I2"/>
    <mergeCell ref="K2:L2"/>
    <mergeCell ref="B3:E3"/>
    <mergeCell ref="N6:O6"/>
    <mergeCell ref="J6:K6"/>
    <mergeCell ref="B6:C6"/>
    <mergeCell ref="D6:E6"/>
    <mergeCell ref="F6:G6"/>
    <mergeCell ref="H6:I6"/>
    <mergeCell ref="L6:M6"/>
  </mergeCells>
  <printOptions/>
  <pageMargins left="0.78" right="0.57" top="0.99" bottom="1" header="0.39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54"/>
  <sheetViews>
    <sheetView zoomScalePageLayoutView="0" workbookViewId="0" topLeftCell="A1">
      <selection activeCell="A3" sqref="A3"/>
    </sheetView>
  </sheetViews>
  <sheetFormatPr defaultColWidth="11.421875" defaultRowHeight="15"/>
  <cols>
    <col min="1" max="1" width="22.421875" style="1" customWidth="1"/>
    <col min="2" max="2" width="9.28125" style="1" customWidth="1"/>
    <col min="3" max="3" width="10.57421875" style="1" customWidth="1"/>
    <col min="4" max="4" width="7.7109375" style="1" customWidth="1"/>
    <col min="5" max="5" width="9.140625" style="1" customWidth="1"/>
    <col min="6" max="6" width="7.8515625" style="1" customWidth="1"/>
    <col min="7" max="7" width="8.7109375" style="1" customWidth="1"/>
    <col min="8" max="8" width="7.57421875" style="1" customWidth="1"/>
    <col min="9" max="9" width="9.8515625" style="1" customWidth="1"/>
    <col min="10" max="10" width="7.7109375" style="1" customWidth="1"/>
    <col min="11" max="11" width="8.8515625" style="1" customWidth="1"/>
    <col min="12" max="12" width="7.140625" style="1" customWidth="1"/>
    <col min="13" max="13" width="9.57421875" style="1" customWidth="1"/>
    <col min="14" max="14" width="7.57421875" style="1" customWidth="1"/>
    <col min="15" max="15" width="10.421875" style="1" customWidth="1"/>
    <col min="16" max="16" width="10.8515625" style="1" customWidth="1"/>
    <col min="17" max="17" width="12.140625" style="1" customWidth="1"/>
    <col min="18" max="16384" width="11.421875" style="1" customWidth="1"/>
  </cols>
  <sheetData>
    <row r="2" spans="1:15" ht="18">
      <c r="A2" s="144" t="s">
        <v>0</v>
      </c>
      <c r="B2" s="167" t="s">
        <v>110</v>
      </c>
      <c r="C2" s="167"/>
      <c r="D2" s="172"/>
      <c r="E2" s="172"/>
      <c r="I2" s="176" t="s">
        <v>23</v>
      </c>
      <c r="J2" s="176"/>
      <c r="K2" s="149">
        <v>41306</v>
      </c>
      <c r="L2" s="123"/>
      <c r="M2" s="123"/>
      <c r="O2" s="22"/>
    </row>
    <row r="3" spans="2:3" ht="16.5">
      <c r="B3" s="182"/>
      <c r="C3" s="182"/>
    </row>
    <row r="5" ht="17.25" thickBot="1"/>
    <row r="6" spans="1:17" ht="17.25">
      <c r="A6" s="24"/>
      <c r="B6" s="174" t="s">
        <v>1</v>
      </c>
      <c r="C6" s="175"/>
      <c r="D6" s="174" t="s">
        <v>2</v>
      </c>
      <c r="E6" s="175"/>
      <c r="F6" s="174" t="s">
        <v>3</v>
      </c>
      <c r="G6" s="175"/>
      <c r="H6" s="174" t="s">
        <v>4</v>
      </c>
      <c r="I6" s="175"/>
      <c r="J6" s="174" t="s">
        <v>32</v>
      </c>
      <c r="K6" s="175"/>
      <c r="L6" s="125" t="s">
        <v>36</v>
      </c>
      <c r="M6" s="74"/>
      <c r="N6" s="174" t="s">
        <v>33</v>
      </c>
      <c r="O6" s="175"/>
      <c r="P6" s="25" t="s">
        <v>5</v>
      </c>
      <c r="Q6" s="25" t="s">
        <v>38</v>
      </c>
    </row>
    <row r="7" spans="1:17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7" t="s">
        <v>31</v>
      </c>
      <c r="O7" s="27" t="s">
        <v>37</v>
      </c>
      <c r="P7" s="28" t="s">
        <v>25</v>
      </c>
      <c r="Q7" s="29" t="s">
        <v>39</v>
      </c>
    </row>
    <row r="8" spans="1:18" ht="17.25">
      <c r="A8" s="30" t="s">
        <v>96</v>
      </c>
      <c r="B8" s="31">
        <v>1216792</v>
      </c>
      <c r="C8" s="32">
        <f>88707.62+194308.39</f>
        <v>283016.01</v>
      </c>
      <c r="D8" s="67">
        <v>74000</v>
      </c>
      <c r="E8" s="32">
        <v>0</v>
      </c>
      <c r="F8" s="67">
        <v>408500</v>
      </c>
      <c r="G8" s="32">
        <f>58.12+906.13</f>
        <v>964.25</v>
      </c>
      <c r="H8" s="67">
        <v>335416</v>
      </c>
      <c r="I8" s="32">
        <f>26003.2+44006.4</f>
        <v>70009.6</v>
      </c>
      <c r="J8" s="67">
        <v>170000</v>
      </c>
      <c r="K8" s="32">
        <v>0</v>
      </c>
      <c r="L8" s="67">
        <v>0</v>
      </c>
      <c r="M8" s="32">
        <v>0</v>
      </c>
      <c r="N8" s="67">
        <v>100000</v>
      </c>
      <c r="O8" s="32">
        <v>105068.69</v>
      </c>
      <c r="P8" s="33">
        <f>+C8+G8+I8+K8+O8+E8</f>
        <v>459058.55</v>
      </c>
      <c r="Q8" s="33">
        <f>+B8+D8+F8+H8+J8+N8-P8+L8</f>
        <v>1845649.45</v>
      </c>
      <c r="R8" s="157"/>
    </row>
    <row r="9" spans="1:17" ht="17.25">
      <c r="A9" s="30" t="s">
        <v>131</v>
      </c>
      <c r="B9" s="31">
        <v>598019</v>
      </c>
      <c r="C9" s="32">
        <f>85574.3+46852.16</f>
        <v>132426.46000000002</v>
      </c>
      <c r="D9" s="67">
        <v>0</v>
      </c>
      <c r="E9" s="32">
        <v>0</v>
      </c>
      <c r="F9" s="67">
        <v>0</v>
      </c>
      <c r="G9" s="32">
        <v>0</v>
      </c>
      <c r="H9" s="67">
        <v>0</v>
      </c>
      <c r="I9" s="32">
        <v>0</v>
      </c>
      <c r="J9" s="67">
        <v>0</v>
      </c>
      <c r="K9" s="32">
        <v>0</v>
      </c>
      <c r="L9" s="67">
        <v>0</v>
      </c>
      <c r="M9" s="32">
        <v>0</v>
      </c>
      <c r="N9" s="67">
        <v>0</v>
      </c>
      <c r="O9" s="32">
        <v>0</v>
      </c>
      <c r="P9" s="33">
        <f>+C9+G9+I9+K9+O9+E9</f>
        <v>132426.46000000002</v>
      </c>
      <c r="Q9" s="33">
        <f>+B9+D9+F9+H9+J9+N9-P9</f>
        <v>465592.54</v>
      </c>
    </row>
    <row r="10" spans="1:17" ht="10.5" customHeight="1">
      <c r="A10" s="30"/>
      <c r="B10" s="31"/>
      <c r="C10" s="32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3"/>
      <c r="Q10" s="33"/>
    </row>
    <row r="11" spans="1:17" ht="18" thickBot="1">
      <c r="A11" s="37" t="s">
        <v>11</v>
      </c>
      <c r="B11" s="38">
        <f>SUM(B8:B9)</f>
        <v>1814811</v>
      </c>
      <c r="C11" s="39">
        <f>SUM(C8:C9)</f>
        <v>415442.47000000003</v>
      </c>
      <c r="D11" s="38">
        <f>SUM(D8:D9)</f>
        <v>74000</v>
      </c>
      <c r="E11" s="39">
        <f>SUM(E8:E9)</f>
        <v>0</v>
      </c>
      <c r="F11" s="38">
        <f>SUM(F8:F10)</f>
        <v>408500</v>
      </c>
      <c r="G11" s="39">
        <f aca="true" t="shared" si="0" ref="G11:Q11">SUM(G8:G9)</f>
        <v>964.25</v>
      </c>
      <c r="H11" s="38">
        <f t="shared" si="0"/>
        <v>335416</v>
      </c>
      <c r="I11" s="39">
        <f t="shared" si="0"/>
        <v>70009.6</v>
      </c>
      <c r="J11" s="38">
        <f t="shared" si="0"/>
        <v>170000</v>
      </c>
      <c r="K11" s="39">
        <f t="shared" si="0"/>
        <v>0</v>
      </c>
      <c r="L11" s="38">
        <f t="shared" si="0"/>
        <v>0</v>
      </c>
      <c r="M11" s="39">
        <f t="shared" si="0"/>
        <v>0</v>
      </c>
      <c r="N11" s="38">
        <f t="shared" si="0"/>
        <v>100000</v>
      </c>
      <c r="O11" s="39">
        <f t="shared" si="0"/>
        <v>105068.69</v>
      </c>
      <c r="P11" s="41">
        <f t="shared" si="0"/>
        <v>591485.01</v>
      </c>
      <c r="Q11" s="41">
        <f t="shared" si="0"/>
        <v>2311241.9899999998</v>
      </c>
    </row>
    <row r="12" spans="1:17" ht="17.25" thickBot="1">
      <c r="A12" s="42" t="s">
        <v>30</v>
      </c>
      <c r="B12" s="87"/>
      <c r="C12" s="92">
        <f>+C11/B11</f>
        <v>0.22891776058223146</v>
      </c>
      <c r="D12" s="92"/>
      <c r="E12" s="164">
        <f>+E11/D11</f>
        <v>0</v>
      </c>
      <c r="F12" s="164"/>
      <c r="G12" s="164">
        <f>+G11/F11</f>
        <v>0.0023604651162790697</v>
      </c>
      <c r="H12" s="92"/>
      <c r="I12" s="92">
        <f>+I11/H11</f>
        <v>0.20872468814844852</v>
      </c>
      <c r="J12" s="88"/>
      <c r="K12" s="164">
        <f>+K11/J11</f>
        <v>0</v>
      </c>
      <c r="L12" s="89"/>
      <c r="M12" s="145"/>
      <c r="N12" s="44"/>
      <c r="O12" s="139">
        <f>+O11/N11</f>
        <v>1.0506869</v>
      </c>
      <c r="P12" s="57"/>
      <c r="Q12" s="93"/>
    </row>
    <row r="13" spans="1:18" ht="16.5">
      <c r="A13" s="48"/>
      <c r="B13" s="48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138"/>
      <c r="Q13" s="5"/>
      <c r="R13" s="5"/>
    </row>
    <row r="40" spans="1:8" ht="16.5">
      <c r="A40" s="52"/>
      <c r="B40" s="52"/>
      <c r="C40" s="52"/>
      <c r="D40" s="52"/>
      <c r="G40" s="52"/>
      <c r="H40" s="52"/>
    </row>
    <row r="42" spans="3:8" ht="16.5">
      <c r="C42" s="51"/>
      <c r="D42" s="5"/>
      <c r="G42" s="52"/>
      <c r="H42" s="52"/>
    </row>
    <row r="43" spans="4:8" ht="16.5">
      <c r="D43" s="5"/>
      <c r="H43" s="52"/>
    </row>
    <row r="44" spans="1:8" ht="16.5">
      <c r="A44" s="61" t="s">
        <v>26</v>
      </c>
      <c r="B44" s="70" t="s">
        <v>27</v>
      </c>
      <c r="C44" s="90" t="s">
        <v>28</v>
      </c>
      <c r="D44" s="5"/>
      <c r="H44" s="52"/>
    </row>
    <row r="45" spans="1:8" ht="17.25">
      <c r="A45" s="63">
        <f>+B11</f>
        <v>1814811</v>
      </c>
      <c r="B45" s="64">
        <f>+C11</f>
        <v>415442.47000000003</v>
      </c>
      <c r="C45" s="90" t="s">
        <v>1</v>
      </c>
      <c r="D45" s="5"/>
      <c r="H45" s="52"/>
    </row>
    <row r="46" spans="1:8" ht="17.25">
      <c r="A46" s="63">
        <f>+D11</f>
        <v>74000</v>
      </c>
      <c r="B46" s="64">
        <f>+E11</f>
        <v>0</v>
      </c>
      <c r="C46" s="90" t="s">
        <v>2</v>
      </c>
      <c r="D46" s="5"/>
      <c r="H46" s="52"/>
    </row>
    <row r="47" spans="1:8" ht="17.25">
      <c r="A47" s="63">
        <f>+F11</f>
        <v>408500</v>
      </c>
      <c r="B47" s="64">
        <f>+G11</f>
        <v>964.25</v>
      </c>
      <c r="C47" s="90" t="s">
        <v>3</v>
      </c>
      <c r="D47" s="5"/>
      <c r="H47" s="52"/>
    </row>
    <row r="48" spans="1:3" ht="17.25">
      <c r="A48" s="63">
        <f>+H11</f>
        <v>335416</v>
      </c>
      <c r="B48" s="64">
        <f>+I11</f>
        <v>70009.6</v>
      </c>
      <c r="C48" s="61" t="s">
        <v>34</v>
      </c>
    </row>
    <row r="49" spans="1:3" ht="17.25">
      <c r="A49" s="63">
        <f>+J11</f>
        <v>170000</v>
      </c>
      <c r="B49" s="64">
        <f>+K11</f>
        <v>0</v>
      </c>
      <c r="C49" s="61" t="s">
        <v>32</v>
      </c>
    </row>
    <row r="50" spans="1:3" ht="17.25">
      <c r="A50" s="65">
        <f>+L11</f>
        <v>0</v>
      </c>
      <c r="B50" s="64">
        <f>+M11</f>
        <v>0</v>
      </c>
      <c r="C50" s="61" t="s">
        <v>95</v>
      </c>
    </row>
    <row r="51" spans="1:3" ht="17.25">
      <c r="A51" s="63">
        <f>+N11</f>
        <v>100000</v>
      </c>
      <c r="B51" s="64">
        <f>+O11</f>
        <v>105068.69</v>
      </c>
      <c r="C51" s="61" t="s">
        <v>35</v>
      </c>
    </row>
    <row r="52" spans="1:3" ht="17.25">
      <c r="A52" s="63">
        <v>565834</v>
      </c>
      <c r="B52" s="64">
        <v>158443.27</v>
      </c>
      <c r="C52" s="94"/>
    </row>
    <row r="53" ht="16.5">
      <c r="C53" s="94"/>
    </row>
    <row r="54" ht="16.5">
      <c r="C54" s="94"/>
    </row>
  </sheetData>
  <sheetProtection/>
  <mergeCells count="9">
    <mergeCell ref="N6:O6"/>
    <mergeCell ref="B6:C6"/>
    <mergeCell ref="D6:E6"/>
    <mergeCell ref="F6:G6"/>
    <mergeCell ref="H6:I6"/>
    <mergeCell ref="B2:E2"/>
    <mergeCell ref="I2:J2"/>
    <mergeCell ref="B3:C3"/>
    <mergeCell ref="J6:K6"/>
  </mergeCells>
  <printOptions/>
  <pageMargins left="0.91" right="0.63" top="0.83" bottom="0.5" header="0.38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56"/>
  <sheetViews>
    <sheetView zoomScalePageLayoutView="0" workbookViewId="0" topLeftCell="A1">
      <selection activeCell="N14" sqref="N14"/>
    </sheetView>
  </sheetViews>
  <sheetFormatPr defaultColWidth="11.421875" defaultRowHeight="15"/>
  <cols>
    <col min="1" max="1" width="12.57421875" style="1" customWidth="1"/>
    <col min="2" max="2" width="8.7109375" style="1" customWidth="1"/>
    <col min="3" max="3" width="10.7109375" style="1" customWidth="1"/>
    <col min="4" max="4" width="7.8515625" style="1" customWidth="1"/>
    <col min="5" max="5" width="8.7109375" style="1" customWidth="1"/>
    <col min="6" max="6" width="7.57421875" style="1" customWidth="1"/>
    <col min="7" max="7" width="10.00390625" style="1" customWidth="1"/>
    <col min="8" max="8" width="7.28125" style="1" customWidth="1"/>
    <col min="9" max="9" width="9.140625" style="1" customWidth="1"/>
    <col min="10" max="10" width="7.421875" style="1" customWidth="1"/>
    <col min="11" max="11" width="9.28125" style="1" customWidth="1"/>
    <col min="12" max="12" width="7.28125" style="1" customWidth="1"/>
    <col min="13" max="13" width="9.8515625" style="1" customWidth="1"/>
    <col min="14" max="14" width="11.00390625" style="1" customWidth="1"/>
    <col min="15" max="15" width="11.140625" style="1" customWidth="1"/>
    <col min="16" max="16384" width="11.421875" style="1" customWidth="1"/>
  </cols>
  <sheetData>
    <row r="2" spans="1:12" ht="18">
      <c r="A2" s="144" t="s">
        <v>0</v>
      </c>
      <c r="B2" s="167" t="s">
        <v>111</v>
      </c>
      <c r="C2" s="184"/>
      <c r="D2" s="172"/>
      <c r="E2" s="172"/>
      <c r="I2" s="176" t="s">
        <v>23</v>
      </c>
      <c r="J2" s="176"/>
      <c r="K2" s="149">
        <v>41306</v>
      </c>
      <c r="L2" s="19"/>
    </row>
    <row r="3" spans="2:4" ht="16.5">
      <c r="B3" s="182"/>
      <c r="C3" s="183"/>
      <c r="D3" s="95"/>
    </row>
    <row r="5" ht="17.25" thickBot="1"/>
    <row r="6" spans="1:15" ht="17.25">
      <c r="A6" s="24"/>
      <c r="B6" s="174" t="s">
        <v>1</v>
      </c>
      <c r="C6" s="175"/>
      <c r="D6" s="174" t="s">
        <v>2</v>
      </c>
      <c r="E6" s="175"/>
      <c r="F6" s="174" t="s">
        <v>3</v>
      </c>
      <c r="G6" s="175"/>
      <c r="H6" s="174" t="s">
        <v>4</v>
      </c>
      <c r="I6" s="175"/>
      <c r="J6" s="174" t="s">
        <v>32</v>
      </c>
      <c r="K6" s="175"/>
      <c r="L6" s="174" t="s">
        <v>33</v>
      </c>
      <c r="M6" s="175"/>
      <c r="N6" s="25" t="s">
        <v>5</v>
      </c>
      <c r="O6" s="25" t="s">
        <v>38</v>
      </c>
    </row>
    <row r="7" spans="1:15" ht="17.25">
      <c r="A7" s="26"/>
      <c r="B7" s="27" t="s">
        <v>31</v>
      </c>
      <c r="C7" s="27" t="s">
        <v>37</v>
      </c>
      <c r="D7" s="27" t="s">
        <v>31</v>
      </c>
      <c r="E7" s="27" t="s">
        <v>37</v>
      </c>
      <c r="F7" s="27" t="s">
        <v>31</v>
      </c>
      <c r="G7" s="27" t="s">
        <v>37</v>
      </c>
      <c r="H7" s="27" t="s">
        <v>31</v>
      </c>
      <c r="I7" s="27" t="s">
        <v>37</v>
      </c>
      <c r="J7" s="27" t="s">
        <v>31</v>
      </c>
      <c r="K7" s="27" t="s">
        <v>37</v>
      </c>
      <c r="L7" s="27" t="s">
        <v>31</v>
      </c>
      <c r="M7" s="27" t="s">
        <v>37</v>
      </c>
      <c r="N7" s="28" t="s">
        <v>25</v>
      </c>
      <c r="O7" s="29" t="s">
        <v>39</v>
      </c>
    </row>
    <row r="8" spans="1:15" ht="16.5">
      <c r="A8" s="96"/>
      <c r="B8" s="97"/>
      <c r="C8" s="32"/>
      <c r="D8" s="35"/>
      <c r="E8" s="32"/>
      <c r="F8" s="35"/>
      <c r="G8" s="32"/>
      <c r="H8" s="35"/>
      <c r="I8" s="32"/>
      <c r="J8" s="35"/>
      <c r="K8" s="32"/>
      <c r="L8" s="35"/>
      <c r="M8" s="32"/>
      <c r="N8" s="33"/>
      <c r="O8" s="33"/>
    </row>
    <row r="9" spans="1:15" ht="17.25">
      <c r="A9" s="30" t="s">
        <v>91</v>
      </c>
      <c r="B9" s="56">
        <v>581329</v>
      </c>
      <c r="C9" s="32">
        <f>48437.49+150095.99</f>
        <v>198533.47999999998</v>
      </c>
      <c r="D9" s="75">
        <v>2500</v>
      </c>
      <c r="E9" s="32">
        <v>0</v>
      </c>
      <c r="F9" s="75">
        <v>92100</v>
      </c>
      <c r="G9" s="32">
        <f>50.39+15278.89</f>
        <v>15329.279999999999</v>
      </c>
      <c r="H9" s="75">
        <v>0</v>
      </c>
      <c r="I9" s="32">
        <v>0</v>
      </c>
      <c r="J9" s="75">
        <v>0</v>
      </c>
      <c r="K9" s="32">
        <v>0</v>
      </c>
      <c r="L9" s="75">
        <v>50000</v>
      </c>
      <c r="M9" s="32">
        <v>35151.17</v>
      </c>
      <c r="N9" s="33">
        <f>+M9+K9+I9+G9+E9+C9</f>
        <v>249013.93</v>
      </c>
      <c r="O9" s="33">
        <f>+B9+D9+F9+H9+J9+L9-N9</f>
        <v>476915.07</v>
      </c>
    </row>
    <row r="10" spans="1:15" ht="16.5">
      <c r="A10" s="96"/>
      <c r="B10" s="97"/>
      <c r="C10" s="32"/>
      <c r="D10" s="35"/>
      <c r="E10" s="32"/>
      <c r="F10" s="35"/>
      <c r="G10" s="32"/>
      <c r="H10" s="35"/>
      <c r="I10" s="32"/>
      <c r="J10" s="35"/>
      <c r="K10" s="32"/>
      <c r="L10" s="35"/>
      <c r="M10" s="32"/>
      <c r="N10" s="33"/>
      <c r="O10" s="33"/>
    </row>
    <row r="11" spans="1:15" ht="16.5">
      <c r="A11" s="96"/>
      <c r="B11" s="97"/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3"/>
      <c r="O11" s="33"/>
    </row>
    <row r="12" spans="1:15" ht="18" thickBot="1">
      <c r="A12" s="37" t="s">
        <v>11</v>
      </c>
      <c r="B12" s="38">
        <f>SUM(B9:B11)</f>
        <v>581329</v>
      </c>
      <c r="C12" s="39">
        <f>SUM(C9)</f>
        <v>198533.47999999998</v>
      </c>
      <c r="D12" s="38">
        <f>SUM(D9:D11)</f>
        <v>2500</v>
      </c>
      <c r="E12" s="39">
        <f>SUM(E9)</f>
        <v>0</v>
      </c>
      <c r="F12" s="38">
        <f>SUM(F9:F11)</f>
        <v>92100</v>
      </c>
      <c r="G12" s="39">
        <f>SUM(G9)</f>
        <v>15329.279999999999</v>
      </c>
      <c r="H12" s="98">
        <f>SUM(H9:H11)</f>
        <v>0</v>
      </c>
      <c r="I12" s="39">
        <v>0</v>
      </c>
      <c r="J12" s="38">
        <f>SUM(J9:J11)</f>
        <v>0</v>
      </c>
      <c r="K12" s="39">
        <f>SUM(K9)</f>
        <v>0</v>
      </c>
      <c r="L12" s="38">
        <f>SUM(L9:L11)</f>
        <v>50000</v>
      </c>
      <c r="M12" s="39">
        <f>SUM(M9)</f>
        <v>35151.17</v>
      </c>
      <c r="N12" s="41">
        <f>SUM(N9)</f>
        <v>249013.93</v>
      </c>
      <c r="O12" s="41">
        <f>SUM(O9)</f>
        <v>476915.07</v>
      </c>
    </row>
    <row r="13" spans="1:15" ht="17.25" thickBot="1">
      <c r="A13" s="42" t="s">
        <v>30</v>
      </c>
      <c r="B13" s="87"/>
      <c r="C13" s="92">
        <f>+C12/B12</f>
        <v>0.34151655946976667</v>
      </c>
      <c r="D13" s="88"/>
      <c r="E13" s="164">
        <f>+E12/D12</f>
        <v>0</v>
      </c>
      <c r="F13" s="88"/>
      <c r="G13" s="92">
        <f>+G12/F12</f>
        <v>0.1664416938110749</v>
      </c>
      <c r="H13" s="88"/>
      <c r="I13" s="88"/>
      <c r="J13" s="88"/>
      <c r="K13" s="46"/>
      <c r="L13" s="44"/>
      <c r="M13" s="139">
        <f>+M12/L12</f>
        <v>0.7030234</v>
      </c>
      <c r="N13" s="57"/>
      <c r="O13" s="5"/>
    </row>
    <row r="14" spans="1:14" ht="16.5">
      <c r="A14" s="48"/>
      <c r="B14" s="48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</row>
    <row r="33" spans="5:10" ht="16.5">
      <c r="E33" s="60"/>
      <c r="F33" s="60"/>
      <c r="J33" s="60"/>
    </row>
    <row r="44" spans="1:8" ht="16.5">
      <c r="A44" s="52"/>
      <c r="B44" s="52"/>
      <c r="C44" s="52"/>
      <c r="D44" s="52"/>
      <c r="G44" s="52"/>
      <c r="H44" s="52"/>
    </row>
    <row r="46" spans="3:8" ht="16.5">
      <c r="C46" s="5"/>
      <c r="D46" s="5"/>
      <c r="G46" s="52"/>
      <c r="H46" s="52"/>
    </row>
    <row r="47" spans="4:8" ht="16.5">
      <c r="D47" s="5"/>
      <c r="H47" s="52"/>
    </row>
    <row r="48" spans="1:8" ht="16.5">
      <c r="A48" s="70" t="s">
        <v>26</v>
      </c>
      <c r="B48" s="70" t="s">
        <v>27</v>
      </c>
      <c r="C48" s="90" t="s">
        <v>28</v>
      </c>
      <c r="D48" s="5"/>
      <c r="H48" s="52"/>
    </row>
    <row r="49" spans="1:8" ht="17.25">
      <c r="A49" s="64">
        <f>+B12</f>
        <v>581329</v>
      </c>
      <c r="B49" s="64">
        <f>+C12</f>
        <v>198533.47999999998</v>
      </c>
      <c r="C49" s="90" t="s">
        <v>1</v>
      </c>
      <c r="D49" s="5"/>
      <c r="H49" s="52"/>
    </row>
    <row r="50" spans="1:8" ht="17.25">
      <c r="A50" s="64">
        <f>+D12</f>
        <v>2500</v>
      </c>
      <c r="B50" s="64">
        <f>+E12</f>
        <v>0</v>
      </c>
      <c r="C50" s="90" t="s">
        <v>2</v>
      </c>
      <c r="D50" s="5"/>
      <c r="H50" s="52"/>
    </row>
    <row r="51" spans="1:8" ht="17.25">
      <c r="A51" s="64">
        <f>+F12</f>
        <v>92100</v>
      </c>
      <c r="B51" s="64">
        <f>+G12</f>
        <v>15329.279999999999</v>
      </c>
      <c r="C51" s="90" t="s">
        <v>3</v>
      </c>
      <c r="D51" s="5"/>
      <c r="H51" s="52"/>
    </row>
    <row r="52" spans="1:3" ht="17.25">
      <c r="A52" s="64">
        <f>+J12</f>
        <v>0</v>
      </c>
      <c r="B52" s="64">
        <f>+K12</f>
        <v>0</v>
      </c>
      <c r="C52" s="61" t="s">
        <v>32</v>
      </c>
    </row>
    <row r="53" spans="1:3" ht="17.25">
      <c r="A53" s="64">
        <f>+L12</f>
        <v>50000</v>
      </c>
      <c r="B53" s="64">
        <f>+M12</f>
        <v>35151.17</v>
      </c>
      <c r="C53" s="61" t="s">
        <v>35</v>
      </c>
    </row>
    <row r="54" spans="1:2" ht="17.25">
      <c r="A54" s="63"/>
      <c r="B54" s="63"/>
    </row>
    <row r="55" spans="1:2" ht="17.25">
      <c r="A55" s="63">
        <v>167558</v>
      </c>
      <c r="B55" s="64">
        <v>40952.32</v>
      </c>
    </row>
    <row r="56" spans="1:2" ht="17.25">
      <c r="A56" s="63"/>
      <c r="B56" s="63"/>
    </row>
  </sheetData>
  <sheetProtection/>
  <mergeCells count="9">
    <mergeCell ref="I2:J2"/>
    <mergeCell ref="L6:M6"/>
    <mergeCell ref="J6:K6"/>
    <mergeCell ref="H6:I6"/>
    <mergeCell ref="B2:E2"/>
    <mergeCell ref="F6:G6"/>
    <mergeCell ref="B3:C3"/>
    <mergeCell ref="D6:E6"/>
    <mergeCell ref="B6:C6"/>
  </mergeCells>
  <printOptions/>
  <pageMargins left="2.28" right="0.75" top="0.88" bottom="0.54" header="0.4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P15" sqref="P15"/>
    </sheetView>
  </sheetViews>
  <sheetFormatPr defaultColWidth="11.421875" defaultRowHeight="15"/>
  <cols>
    <col min="1" max="1" width="13.8515625" style="1" customWidth="1"/>
    <col min="2" max="2" width="10.140625" style="1" customWidth="1"/>
    <col min="3" max="3" width="12.57421875" style="1" customWidth="1"/>
    <col min="4" max="4" width="9.140625" style="1" customWidth="1"/>
    <col min="5" max="5" width="10.57421875" style="1" customWidth="1"/>
    <col min="6" max="6" width="9.421875" style="1" customWidth="1"/>
    <col min="7" max="7" width="12.28125" style="1" customWidth="1"/>
    <col min="8" max="8" width="7.8515625" style="1" customWidth="1"/>
    <col min="9" max="9" width="9.421875" style="1" customWidth="1"/>
    <col min="10" max="10" width="9.28125" style="1" customWidth="1"/>
    <col min="11" max="11" width="9.7109375" style="1" customWidth="1"/>
    <col min="12" max="12" width="9.421875" style="1" customWidth="1"/>
    <col min="13" max="13" width="10.28125" style="1" customWidth="1"/>
    <col min="14" max="14" width="9.421875" style="1" customWidth="1"/>
    <col min="15" max="15" width="12.421875" style="1" customWidth="1"/>
    <col min="16" max="16" width="12.140625" style="1" customWidth="1"/>
    <col min="17" max="17" width="13.00390625" style="1" customWidth="1"/>
    <col min="18" max="18" width="12.140625" style="1" bestFit="1" customWidth="1"/>
    <col min="19" max="16384" width="11.421875" style="1" customWidth="1"/>
  </cols>
  <sheetData>
    <row r="1" spans="1:15" ht="18">
      <c r="A1" s="144" t="s">
        <v>0</v>
      </c>
      <c r="B1" s="167" t="s">
        <v>112</v>
      </c>
      <c r="C1" s="179"/>
      <c r="D1" s="179"/>
      <c r="E1" s="179"/>
      <c r="F1" s="180"/>
      <c r="L1" s="176" t="s">
        <v>23</v>
      </c>
      <c r="M1" s="177"/>
      <c r="N1" s="149">
        <v>41306</v>
      </c>
      <c r="O1" s="22"/>
    </row>
    <row r="2" spans="2:4" ht="4.5" customHeight="1">
      <c r="B2" s="182"/>
      <c r="C2" s="183"/>
      <c r="D2" s="183"/>
    </row>
    <row r="3" ht="17.25" thickBot="1"/>
    <row r="4" spans="1:17" ht="17.25">
      <c r="A4" s="24"/>
      <c r="B4" s="174" t="s">
        <v>1</v>
      </c>
      <c r="C4" s="175"/>
      <c r="D4" s="174" t="s">
        <v>2</v>
      </c>
      <c r="E4" s="175"/>
      <c r="F4" s="174" t="s">
        <v>3</v>
      </c>
      <c r="G4" s="175"/>
      <c r="H4" s="174" t="s">
        <v>34</v>
      </c>
      <c r="I4" s="175"/>
      <c r="J4" s="174" t="s">
        <v>32</v>
      </c>
      <c r="K4" s="175"/>
      <c r="L4" s="174" t="s">
        <v>36</v>
      </c>
      <c r="M4" s="175"/>
      <c r="N4" s="174" t="s">
        <v>33</v>
      </c>
      <c r="O4" s="175"/>
      <c r="P4" s="25" t="s">
        <v>5</v>
      </c>
      <c r="Q4" s="25" t="s">
        <v>38</v>
      </c>
    </row>
    <row r="5" spans="1:17" ht="17.25">
      <c r="A5" s="26"/>
      <c r="B5" s="27" t="s">
        <v>31</v>
      </c>
      <c r="C5" s="27" t="s">
        <v>37</v>
      </c>
      <c r="D5" s="27" t="s">
        <v>31</v>
      </c>
      <c r="E5" s="27" t="s">
        <v>37</v>
      </c>
      <c r="F5" s="27" t="s">
        <v>31</v>
      </c>
      <c r="G5" s="27" t="s">
        <v>37</v>
      </c>
      <c r="H5" s="27" t="s">
        <v>31</v>
      </c>
      <c r="I5" s="27" t="s">
        <v>37</v>
      </c>
      <c r="J5" s="27" t="s">
        <v>31</v>
      </c>
      <c r="K5" s="27" t="s">
        <v>37</v>
      </c>
      <c r="L5" s="27" t="s">
        <v>31</v>
      </c>
      <c r="M5" s="27" t="s">
        <v>37</v>
      </c>
      <c r="N5" s="27" t="s">
        <v>31</v>
      </c>
      <c r="O5" s="27" t="s">
        <v>37</v>
      </c>
      <c r="P5" s="124" t="s">
        <v>25</v>
      </c>
      <c r="Q5" s="29" t="s">
        <v>39</v>
      </c>
    </row>
    <row r="6" spans="1:17" ht="17.25">
      <c r="A6" s="30" t="s">
        <v>14</v>
      </c>
      <c r="B6" s="31">
        <v>2107336</v>
      </c>
      <c r="C6" s="32">
        <f>108152.14+1447050.66+14680.42+8376.88+22011.64+9592.54</f>
        <v>1609864.2799999996</v>
      </c>
      <c r="D6" s="67">
        <v>132534</v>
      </c>
      <c r="E6" s="32">
        <f>9001.71+104733.3</f>
        <v>113735.01000000001</v>
      </c>
      <c r="F6" s="67">
        <v>487224</v>
      </c>
      <c r="G6" s="32">
        <f>6387.82+63035.96+2200</f>
        <v>71623.78</v>
      </c>
      <c r="H6" s="67">
        <v>138092</v>
      </c>
      <c r="I6" s="32">
        <f>644.6+4526.14</f>
        <v>5170.740000000001</v>
      </c>
      <c r="J6" s="67">
        <v>12096</v>
      </c>
      <c r="K6" s="32">
        <v>0</v>
      </c>
      <c r="L6" s="67">
        <v>112000</v>
      </c>
      <c r="M6" s="32">
        <v>2520</v>
      </c>
      <c r="N6" s="67">
        <v>1500000</v>
      </c>
      <c r="O6" s="32">
        <v>82395.92</v>
      </c>
      <c r="P6" s="33">
        <f aca="true" t="shared" si="0" ref="P6:P11">+O6+M6+K6+I6+G6+E6+C6</f>
        <v>1885309.7299999995</v>
      </c>
      <c r="Q6" s="33">
        <f aca="true" t="shared" si="1" ref="Q6:Q12">+B6+D6+F6+H6+J6+L6+N6-P6</f>
        <v>2603972.2700000005</v>
      </c>
    </row>
    <row r="7" spans="1:17" ht="17.25">
      <c r="A7" s="30" t="s">
        <v>113</v>
      </c>
      <c r="B7" s="31">
        <v>2581333</v>
      </c>
      <c r="C7" s="32">
        <f>119638.5+72887.49+58848.37+31063.87+61158.58+28589.3</f>
        <v>372186.11</v>
      </c>
      <c r="D7" s="67">
        <v>190136</v>
      </c>
      <c r="E7" s="32">
        <f>5600+5934.95</f>
        <v>11534.95</v>
      </c>
      <c r="F7" s="67">
        <v>380876</v>
      </c>
      <c r="G7" s="32">
        <f>44542.92+67138.26-2288.25+3938.7</f>
        <v>113331.62999999999</v>
      </c>
      <c r="H7" s="67">
        <v>55000</v>
      </c>
      <c r="I7" s="32">
        <v>14900</v>
      </c>
      <c r="J7" s="67">
        <v>30240</v>
      </c>
      <c r="K7" s="32">
        <v>1470</v>
      </c>
      <c r="L7" s="67">
        <v>457000</v>
      </c>
      <c r="M7" s="32">
        <f>900.45+4473.68</f>
        <v>5374.13</v>
      </c>
      <c r="N7" s="67">
        <v>0</v>
      </c>
      <c r="O7" s="32">
        <v>162878.61</v>
      </c>
      <c r="P7" s="33">
        <f>+O7+M7+K7+I7+G7+E7+C7</f>
        <v>681675.4299999999</v>
      </c>
      <c r="Q7" s="33">
        <f t="shared" si="1"/>
        <v>3012909.5700000003</v>
      </c>
    </row>
    <row r="8" spans="1:18" ht="17.25">
      <c r="A8" s="30" t="s">
        <v>114</v>
      </c>
      <c r="B8" s="31">
        <v>10474251</v>
      </c>
      <c r="C8" s="32">
        <f>881248.64+515220.31</f>
        <v>1396468.95</v>
      </c>
      <c r="D8" s="67">
        <v>2188687</v>
      </c>
      <c r="E8" s="32">
        <f>86972.65+121404.69</f>
        <v>208377.34</v>
      </c>
      <c r="F8" s="67">
        <v>2714120</v>
      </c>
      <c r="G8" s="32">
        <f>170178.27+423818.36</f>
        <v>593996.63</v>
      </c>
      <c r="H8" s="67">
        <v>0</v>
      </c>
      <c r="I8" s="32">
        <v>0</v>
      </c>
      <c r="J8" s="67">
        <f>1921850+168000</f>
        <v>2089850</v>
      </c>
      <c r="K8" s="32">
        <v>27520</v>
      </c>
      <c r="L8" s="67">
        <v>0</v>
      </c>
      <c r="M8" s="32">
        <v>0</v>
      </c>
      <c r="N8" s="67">
        <v>0</v>
      </c>
      <c r="O8" s="32">
        <v>626309.79</v>
      </c>
      <c r="P8" s="33">
        <f t="shared" si="0"/>
        <v>2852672.71</v>
      </c>
      <c r="Q8" s="33">
        <f t="shared" si="1"/>
        <v>14614235.29</v>
      </c>
      <c r="R8" s="157"/>
    </row>
    <row r="9" spans="1:17" ht="17.25">
      <c r="A9" s="30" t="s">
        <v>40</v>
      </c>
      <c r="B9" s="31">
        <v>4768632</v>
      </c>
      <c r="C9" s="32">
        <f>387412.36+202608.57+3245.87+1555.99</f>
        <v>594822.7899999999</v>
      </c>
      <c r="D9" s="67">
        <v>1191341</v>
      </c>
      <c r="E9" s="32">
        <f>5016.3+78632.59</f>
        <v>83648.89</v>
      </c>
      <c r="F9" s="67">
        <v>493153</v>
      </c>
      <c r="G9" s="32">
        <f>18232+61945.42</f>
        <v>80177.42</v>
      </c>
      <c r="H9" s="67">
        <v>0</v>
      </c>
      <c r="I9" s="32">
        <v>0</v>
      </c>
      <c r="J9" s="67">
        <v>15000</v>
      </c>
      <c r="K9" s="32">
        <v>0</v>
      </c>
      <c r="L9" s="67">
        <v>0</v>
      </c>
      <c r="M9" s="32">
        <f>3634.6+12331</f>
        <v>15965.6</v>
      </c>
      <c r="N9" s="67">
        <v>0</v>
      </c>
      <c r="O9" s="32">
        <v>218254.08</v>
      </c>
      <c r="P9" s="33">
        <f t="shared" si="0"/>
        <v>992868.7799999999</v>
      </c>
      <c r="Q9" s="33">
        <f t="shared" si="1"/>
        <v>5475257.22</v>
      </c>
    </row>
    <row r="10" spans="1:17" ht="17.25">
      <c r="A10" s="30" t="s">
        <v>115</v>
      </c>
      <c r="B10" s="31">
        <v>224426</v>
      </c>
      <c r="C10" s="32">
        <f>9613.44+5648.47</f>
        <v>15261.91</v>
      </c>
      <c r="D10" s="99">
        <v>394054</v>
      </c>
      <c r="E10" s="79">
        <f>11244.84+30921.61</f>
        <v>42166.45</v>
      </c>
      <c r="F10" s="99">
        <v>26800</v>
      </c>
      <c r="G10" s="79">
        <v>0</v>
      </c>
      <c r="H10" s="99">
        <v>0</v>
      </c>
      <c r="I10" s="79">
        <v>0</v>
      </c>
      <c r="J10" s="99">
        <v>115000</v>
      </c>
      <c r="K10" s="79">
        <v>0</v>
      </c>
      <c r="L10" s="99">
        <v>1763400</v>
      </c>
      <c r="M10" s="79">
        <v>0</v>
      </c>
      <c r="N10" s="99">
        <v>0</v>
      </c>
      <c r="O10" s="79">
        <v>9983.91</v>
      </c>
      <c r="P10" s="33">
        <f t="shared" si="0"/>
        <v>67412.27</v>
      </c>
      <c r="Q10" s="33">
        <f t="shared" si="1"/>
        <v>2456267.73</v>
      </c>
    </row>
    <row r="11" spans="1:17" ht="17.25">
      <c r="A11" s="30" t="s">
        <v>116</v>
      </c>
      <c r="B11" s="31">
        <v>1038817</v>
      </c>
      <c r="C11" s="32">
        <f>83411.03+50067.06</f>
        <v>133478.09</v>
      </c>
      <c r="D11" s="67">
        <v>639137</v>
      </c>
      <c r="E11" s="32">
        <f>4727.05+29073.59</f>
        <v>33800.64</v>
      </c>
      <c r="F11" s="67">
        <v>2736000</v>
      </c>
      <c r="G11" s="32">
        <f>727535.76+453841.03</f>
        <v>1181376.79</v>
      </c>
      <c r="H11" s="99">
        <v>0</v>
      </c>
      <c r="I11" s="32">
        <v>2700</v>
      </c>
      <c r="J11" s="99">
        <v>0</v>
      </c>
      <c r="K11" s="32">
        <v>0</v>
      </c>
      <c r="L11" s="99">
        <v>0</v>
      </c>
      <c r="M11" s="32">
        <v>0</v>
      </c>
      <c r="N11" s="99">
        <v>0</v>
      </c>
      <c r="O11" s="32">
        <v>57103.86</v>
      </c>
      <c r="P11" s="33">
        <f t="shared" si="0"/>
        <v>1408459.3800000001</v>
      </c>
      <c r="Q11" s="33">
        <f t="shared" si="1"/>
        <v>3005494.62</v>
      </c>
    </row>
    <row r="12" spans="1:17" ht="17.25">
      <c r="A12" s="30" t="s">
        <v>79</v>
      </c>
      <c r="B12" s="31">
        <v>7668013</v>
      </c>
      <c r="C12" s="32">
        <f>654173.27+368384.72+67883.96+31010.34+9924.94+5781.26</f>
        <v>1137158.49</v>
      </c>
      <c r="D12" s="67">
        <v>525165</v>
      </c>
      <c r="E12" s="32">
        <f>20401.08+104654.91</f>
        <v>125055.99</v>
      </c>
      <c r="F12" s="67">
        <v>712987</v>
      </c>
      <c r="G12" s="32">
        <f>52941.19+149198.01+1700</f>
        <v>203839.2</v>
      </c>
      <c r="H12" s="67">
        <v>2400</v>
      </c>
      <c r="I12" s="32">
        <v>0</v>
      </c>
      <c r="J12" s="67">
        <v>686879</v>
      </c>
      <c r="K12" s="32">
        <f>16006.22+27740</f>
        <v>43746.22</v>
      </c>
      <c r="L12" s="67">
        <v>941000</v>
      </c>
      <c r="M12" s="32">
        <f>23708.42+72962.83</f>
        <v>96671.25</v>
      </c>
      <c r="N12" s="67">
        <v>0</v>
      </c>
      <c r="O12" s="32">
        <v>387293.63</v>
      </c>
      <c r="P12" s="33">
        <f>+O12+M12+K12+I12+G12+E12+C12</f>
        <v>1993764.78</v>
      </c>
      <c r="Q12" s="33">
        <f t="shared" si="1"/>
        <v>8542679.22</v>
      </c>
    </row>
    <row r="13" spans="1:17" ht="18" thickBot="1">
      <c r="A13" s="37" t="s">
        <v>11</v>
      </c>
      <c r="B13" s="38">
        <f aca="true" t="shared" si="2" ref="B13:Q13">SUM(B6:B12)</f>
        <v>28862808</v>
      </c>
      <c r="C13" s="39">
        <f t="shared" si="2"/>
        <v>5259240.62</v>
      </c>
      <c r="D13" s="38">
        <f t="shared" si="2"/>
        <v>5261054</v>
      </c>
      <c r="E13" s="39">
        <f t="shared" si="2"/>
        <v>618319.27</v>
      </c>
      <c r="F13" s="38">
        <f t="shared" si="2"/>
        <v>7551160</v>
      </c>
      <c r="G13" s="39">
        <f t="shared" si="2"/>
        <v>2244345.45</v>
      </c>
      <c r="H13" s="38">
        <f t="shared" si="2"/>
        <v>195492</v>
      </c>
      <c r="I13" s="39">
        <f t="shared" si="2"/>
        <v>22770.74</v>
      </c>
      <c r="J13" s="38">
        <f t="shared" si="2"/>
        <v>2949065</v>
      </c>
      <c r="K13" s="39">
        <f t="shared" si="2"/>
        <v>72736.22</v>
      </c>
      <c r="L13" s="38">
        <f t="shared" si="2"/>
        <v>3273400</v>
      </c>
      <c r="M13" s="39">
        <f t="shared" si="2"/>
        <v>120530.98</v>
      </c>
      <c r="N13" s="38">
        <f t="shared" si="2"/>
        <v>1500000</v>
      </c>
      <c r="O13" s="39">
        <f t="shared" si="2"/>
        <v>1544219.8000000003</v>
      </c>
      <c r="P13" s="41">
        <f t="shared" si="2"/>
        <v>9882163.079999998</v>
      </c>
      <c r="Q13" s="41">
        <f t="shared" si="2"/>
        <v>39710815.92</v>
      </c>
    </row>
    <row r="14" spans="1:17" ht="17.25" thickBot="1">
      <c r="A14" s="37" t="s">
        <v>30</v>
      </c>
      <c r="B14" s="87"/>
      <c r="C14" s="92">
        <f>+C13/B13</f>
        <v>0.18221514067515537</v>
      </c>
      <c r="D14" s="92"/>
      <c r="E14" s="92">
        <f>+E13/D13</f>
        <v>0.11752764179953294</v>
      </c>
      <c r="F14" s="92"/>
      <c r="G14" s="92">
        <f>+G13/F13</f>
        <v>0.29721863263392645</v>
      </c>
      <c r="H14" s="92"/>
      <c r="I14" s="92">
        <f>+I13/H13</f>
        <v>0.11647913981134779</v>
      </c>
      <c r="J14" s="92"/>
      <c r="K14" s="164">
        <f>+K13/J13</f>
        <v>0.024664163048288185</v>
      </c>
      <c r="L14" s="147"/>
      <c r="M14" s="145">
        <f>+M13/L13</f>
        <v>0.03682134172420114</v>
      </c>
      <c r="N14" s="44"/>
      <c r="O14" s="139">
        <f>+O13/N13</f>
        <v>1.029479866666667</v>
      </c>
      <c r="P14" s="57"/>
      <c r="Q14" s="5"/>
    </row>
    <row r="15" spans="1:17" ht="16.5">
      <c r="A15" s="48"/>
      <c r="B15" s="4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138"/>
      <c r="Q15" s="5"/>
    </row>
    <row r="16" spans="16:17" ht="16.5">
      <c r="P16" s="51"/>
      <c r="Q16" s="5"/>
    </row>
    <row r="33" ht="16.5">
      <c r="J33" s="60"/>
    </row>
    <row r="38" spans="1:6" ht="16.5">
      <c r="A38" s="52"/>
      <c r="B38" s="52"/>
      <c r="C38" s="52"/>
      <c r="D38" s="52"/>
      <c r="E38" s="52"/>
      <c r="F38" s="52"/>
    </row>
    <row r="40" spans="3:6" ht="16.5">
      <c r="C40" s="51"/>
      <c r="D40" s="5"/>
      <c r="E40" s="52"/>
      <c r="F40" s="52"/>
    </row>
    <row r="41" spans="3:6" ht="16.5">
      <c r="C41" s="51"/>
      <c r="D41" s="5"/>
      <c r="E41" s="52"/>
      <c r="F41" s="52"/>
    </row>
    <row r="42" spans="3:6" ht="16.5">
      <c r="C42" s="51"/>
      <c r="D42" s="5"/>
      <c r="E42" s="52"/>
      <c r="F42" s="52"/>
    </row>
    <row r="43" spans="1:6" ht="16.5">
      <c r="A43" s="77"/>
      <c r="C43" s="51"/>
      <c r="D43" s="5"/>
      <c r="E43" s="52"/>
      <c r="F43" s="52"/>
    </row>
    <row r="44" spans="3:6" ht="16.5">
      <c r="C44" s="51"/>
      <c r="D44" s="5"/>
      <c r="E44" s="52"/>
      <c r="F44" s="52"/>
    </row>
    <row r="45" spans="3:6" ht="16.5">
      <c r="C45" s="51"/>
      <c r="D45" s="5"/>
      <c r="E45" s="52"/>
      <c r="F45" s="52"/>
    </row>
    <row r="46" spans="3:6" ht="16.5">
      <c r="C46" s="51"/>
      <c r="D46" s="5"/>
      <c r="E46" s="52"/>
      <c r="F46" s="52"/>
    </row>
    <row r="47" ht="16.5">
      <c r="C47" s="47"/>
    </row>
    <row r="49" spans="1:4" ht="16.5">
      <c r="A49" s="61" t="s">
        <v>26</v>
      </c>
      <c r="B49" s="70" t="s">
        <v>27</v>
      </c>
      <c r="C49" s="61" t="s">
        <v>28</v>
      </c>
      <c r="D49" s="61"/>
    </row>
    <row r="50" spans="1:3" ht="17.25">
      <c r="A50" s="63">
        <f>+B13</f>
        <v>28862808</v>
      </c>
      <c r="B50" s="64">
        <f>+C13</f>
        <v>5259240.62</v>
      </c>
      <c r="C50" s="61" t="s">
        <v>1</v>
      </c>
    </row>
    <row r="51" spans="1:3" ht="17.25">
      <c r="A51" s="63">
        <f>+D13</f>
        <v>5261054</v>
      </c>
      <c r="B51" s="64">
        <f>+E13</f>
        <v>618319.27</v>
      </c>
      <c r="C51" s="61" t="s">
        <v>2</v>
      </c>
    </row>
    <row r="52" spans="1:3" ht="17.25">
      <c r="A52" s="63">
        <f>+F13</f>
        <v>7551160</v>
      </c>
      <c r="B52" s="64">
        <f>+G13</f>
        <v>2244345.45</v>
      </c>
      <c r="C52" s="61" t="s">
        <v>3</v>
      </c>
    </row>
    <row r="53" spans="1:3" ht="17.25">
      <c r="A53" s="65">
        <f>+H13</f>
        <v>195492</v>
      </c>
      <c r="B53" s="64">
        <f>+I13</f>
        <v>22770.74</v>
      </c>
      <c r="C53" s="61" t="s">
        <v>34</v>
      </c>
    </row>
    <row r="54" spans="1:3" ht="17.25">
      <c r="A54" s="65">
        <f>+J13</f>
        <v>2949065</v>
      </c>
      <c r="B54" s="64">
        <f>+K13</f>
        <v>72736.22</v>
      </c>
      <c r="C54" s="61" t="s">
        <v>32</v>
      </c>
    </row>
    <row r="55" spans="1:3" ht="17.25">
      <c r="A55" s="63">
        <f>+L13</f>
        <v>3273400</v>
      </c>
      <c r="B55" s="64">
        <f>+M13</f>
        <v>120530.98</v>
      </c>
      <c r="C55" s="61" t="s">
        <v>29</v>
      </c>
    </row>
    <row r="56" spans="1:3" ht="17.25">
      <c r="A56" s="63">
        <f>+N13</f>
        <v>1500000</v>
      </c>
      <c r="B56" s="64">
        <f>+O13</f>
        <v>1544219.8000000003</v>
      </c>
      <c r="C56" s="61" t="s">
        <v>35</v>
      </c>
    </row>
    <row r="57" spans="1:2" ht="17.25">
      <c r="A57" s="63"/>
      <c r="B57" s="63"/>
    </row>
    <row r="58" spans="1:2" ht="17.25">
      <c r="A58" s="63">
        <v>4568329</v>
      </c>
      <c r="B58" s="64">
        <v>1360852.79</v>
      </c>
    </row>
  </sheetData>
  <sheetProtection/>
  <mergeCells count="10">
    <mergeCell ref="L1:M1"/>
    <mergeCell ref="B1:F1"/>
    <mergeCell ref="N4:O4"/>
    <mergeCell ref="B4:C4"/>
    <mergeCell ref="D4:E4"/>
    <mergeCell ref="F4:G4"/>
    <mergeCell ref="H4:I4"/>
    <mergeCell ref="B2:D2"/>
    <mergeCell ref="J4:K4"/>
    <mergeCell ref="L4:M4"/>
  </mergeCells>
  <printOptions/>
  <pageMargins left="0.4724409448818898" right="0.31496062992125984" top="0.9055118110236221" bottom="0.2362204724409449" header="0.35433070866141736" footer="0"/>
  <pageSetup horizontalDpi="600" verticalDpi="600" orientation="landscape" paperSize="5" r:id="rId2"/>
  <headerFooter alignWithMargins="0">
    <oddHeader>&amp;R&amp;"Gill Sans MT Shadow,Regular"&amp;10CONTADURIA MUNICIPAL</oddHeader>
    <oddFooter>&amp;L&amp;"Gill Sans MT Shadow,Regular"&amp;8&amp;D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Cipolletti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Municipal</dc:creator>
  <cp:keywords/>
  <dc:description/>
  <cp:lastModifiedBy>contaduria-219</cp:lastModifiedBy>
  <cp:lastPrinted>2013-04-12T13:12:03Z</cp:lastPrinted>
  <dcterms:created xsi:type="dcterms:W3CDTF">2000-04-26T12:06:38Z</dcterms:created>
  <dcterms:modified xsi:type="dcterms:W3CDTF">2013-04-29T15:06:17Z</dcterms:modified>
  <cp:category/>
  <cp:version/>
  <cp:contentType/>
  <cp:contentStatus/>
</cp:coreProperties>
</file>