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90" windowWidth="11745" windowHeight="6570" tabRatio="603" activeTab="11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<sst xmlns="http://schemas.openxmlformats.org/spreadsheetml/2006/main" count="569" uniqueCount="147">
  <si>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</si>
  <si>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</si>
  <si>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</si>
  <si>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</si>
  <si>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</si>
  <si>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</si>
  <si>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</si>
  <si>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</si>
  <si>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</si>
  <si>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</si>
  <si>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</si>
  <si>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</si>
  <si>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</si>
  <si>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</si>
  <si>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</si>
  <si>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</si>
  <si>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</si>
  <si>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</si>
  <si>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</si>
  <si>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</si>
  <si>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</si>
  <si>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</si>
  <si>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</si>
  <si>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</si>
  <si>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</si>
  <si>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</si>
  <si>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</si>
  <si>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</si>
  <si>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</si>
  <si>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</si>
  <si>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</si>
  <si>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</si>
  <si>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</si>
  <si>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</si>
  <si>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</si>
  <si>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</si>
  <si>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</si>
  <si>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</si>
  <si>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</si>
  <si>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</si>
  <si>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</si>
  <si>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</si>
  <si>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</si>
  <si>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</si>
  <si>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CREDITO 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</si>
  <si>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</si>
  <si>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</si>
  <si>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</si>
  <si>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</si>
  <si>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</si>
  <si>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</si>
  <si>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</si>
  <si>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</si>
  <si>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</si>
  <si>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</si>
  <si>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</si>
  <si>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</si>
  <si>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</si>
  <si>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</si>
  <si>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</si>
  <si>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</si>
  <si>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</si>
  <si>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</si>
  <si>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</si>
  <si>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</si>
  <si>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</si>
  <si>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</si>
  <si>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</si>
  <si>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</si>
  <si>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</si>
  <si>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</si>
  <si>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</si>
  <si>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</si>
  <si>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</si>
  <si>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</si>
  <si>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</si>
  <si>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</si>
  <si>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</si>
  <si>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</si>
  <si>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</si>
  <si>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</si>
  <si>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</si>
  <si>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</si>
  <si>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</si>
  <si>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</si>
  <si>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</si>
  <si>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</si>
  <si>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</si>
  <si>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</si>
  <si>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Privada</t>
  </si>
  <si>
    <t xml:space="preserve">                    TRANSF. CTES.</t>
  </si>
  <si>
    <t>CULT.</t>
  </si>
  <si>
    <t>DEP.</t>
  </si>
  <si>
    <t>TRAB.PUBLICOS</t>
  </si>
  <si>
    <t>Presidencia</t>
  </si>
  <si>
    <t>SFOI</t>
  </si>
  <si>
    <t>Unid.Des.Económico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</si>
  <si>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</si>
  <si>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</si>
  <si>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</si>
  <si>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</si>
  <si>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</si>
  <si>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</si>
  <si>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SECRETARIA DE ACCIÓN  SOCIAL</t>
  </si>
  <si>
    <t>Dir. Tercera Edad</t>
  </si>
  <si>
    <t>SECRETARIA DE OBRAS  PÚBLICAS</t>
  </si>
  <si>
    <t>SECRETARIA DE FISCALIZACIÓN Y  ORGANIZACIÓN  INTERNA</t>
  </si>
  <si>
    <t>CONCEJO  DELIBERANTE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</si>
  <si>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</si>
  <si>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</si>
  <si>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</si>
  <si>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</si>
  <si>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</si>
  <si>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</si>
  <si>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</si>
  <si>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DIRECCIÓN   GENERAL  DE  DEPORTES</t>
  </si>
  <si>
    <t>Dir.Gral. de Cultura</t>
  </si>
  <si>
    <t>Dir.Gral. de Deportes</t>
  </si>
  <si>
    <t>Dir. Desarrollo Social</t>
  </si>
  <si>
    <t>Dirección</t>
  </si>
  <si>
    <t>Coord.Téc.Act.Fisicas y Rec.</t>
  </si>
  <si>
    <t>Coord.Téc.Deport.y Eventos</t>
  </si>
  <si>
    <t>SECRETARIA DE  ECONOMÍA Y  HACIENDA</t>
  </si>
  <si>
    <t>Unidad Margen Sur</t>
  </si>
  <si>
    <t>Deleg.Mpal.Las Perlas</t>
  </si>
  <si>
    <t>Dir.Proy.Urbanisticos</t>
  </si>
  <si>
    <t>Bloque Frente p/la Victoria</t>
  </si>
  <si>
    <t>CREDITO  PRESUPUESTARIO  2013</t>
  </si>
  <si>
    <t>INTENDENCIA</t>
  </si>
  <si>
    <t>GOBIERNO</t>
  </si>
  <si>
    <t>HACIENDA</t>
  </si>
  <si>
    <t>ACCION SOCIAL</t>
  </si>
  <si>
    <t>OBRAS PUBLICAS</t>
  </si>
  <si>
    <t>FISCALIZACION</t>
  </si>
  <si>
    <t>CONCEJO</t>
  </si>
  <si>
    <t>CONTRALORIA</t>
  </si>
  <si>
    <t>SERV. PUBLICOS</t>
  </si>
  <si>
    <t>CULTURA</t>
  </si>
  <si>
    <t>DEPORTES</t>
  </si>
  <si>
    <t>TRANSF. CTES.</t>
  </si>
  <si>
    <t>BS. DE K + PREEX.</t>
  </si>
  <si>
    <t>AMORTIZ. DEUDA</t>
  </si>
  <si>
    <t>Prevención del Delito</t>
  </si>
  <si>
    <t>Parque Industrial</t>
  </si>
  <si>
    <t>Asuntos Vecinales</t>
  </si>
  <si>
    <t>Dir.Protección Ciudadana</t>
  </si>
  <si>
    <t>Coord.Legal Seg. Vial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</si>
</sst>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101">
    <font>
      <sz val="11"/>
      <name val="Garamond"/>
      <family val="0"/>
    </font>
    <font>
      <sz val="8"/>
      <name val="Garamond"/>
      <family val="0"/>
    </font>
    <font>
      <b/>
      <sz val="9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i/>
      <sz val="9"/>
      <name val="Trebuchet MS"/>
      <family val="2"/>
    </font>
    <font>
      <i/>
      <u val="single"/>
      <sz val="10"/>
      <name val="Trebuchet MS"/>
      <family val="2"/>
    </font>
    <font>
      <i/>
      <u val="single"/>
      <sz val="10"/>
      <name val="Garamond"/>
      <family val="1"/>
    </font>
    <font>
      <sz val="20.5"/>
      <color indexed="8"/>
      <name val="Garamond"/>
      <family val="1"/>
    </font>
    <font>
      <b/>
      <sz val="4.5"/>
      <color indexed="8"/>
      <name val="Trebuchet MS"/>
      <family val="2"/>
    </font>
    <font>
      <b/>
      <sz val="6"/>
      <color indexed="8"/>
      <name val="Trebuchet MS"/>
      <family val="2"/>
    </font>
    <font>
      <b/>
      <i/>
      <sz val="7.35"/>
      <color indexed="8"/>
      <name val="Trebuchet MS"/>
      <family val="2"/>
    </font>
    <font>
      <sz val="19"/>
      <color indexed="8"/>
      <name val="Garamond"/>
      <family val="1"/>
    </font>
    <font>
      <b/>
      <sz val="3.75"/>
      <color indexed="8"/>
      <name val="Trebuchet MS"/>
      <family val="2"/>
    </font>
    <font>
      <b/>
      <sz val="5"/>
      <color indexed="8"/>
      <name val="Trebuchet MS"/>
      <family val="2"/>
    </font>
    <font>
      <b/>
      <i/>
      <sz val="8.25"/>
      <color indexed="8"/>
      <name val="Trebuchet MS"/>
      <family val="2"/>
    </font>
    <font>
      <sz val="18.25"/>
      <color indexed="8"/>
      <name val="Garamond"/>
      <family val="1"/>
    </font>
    <font>
      <b/>
      <sz val="4.25"/>
      <color indexed="8"/>
      <name val="Trebuchet MS"/>
      <family val="2"/>
    </font>
    <font>
      <b/>
      <sz val="6.25"/>
      <color indexed="8"/>
      <name val="Trebuchet MS"/>
      <family val="2"/>
    </font>
    <font>
      <sz val="20.75"/>
      <color indexed="8"/>
      <name val="Garamond"/>
      <family val="1"/>
    </font>
    <font>
      <b/>
      <sz val="6.5"/>
      <color indexed="8"/>
      <name val="Trebuchet MS"/>
      <family val="2"/>
    </font>
    <font>
      <sz val="19.25"/>
      <color indexed="8"/>
      <name val="Garamond"/>
      <family val="1"/>
    </font>
    <font>
      <b/>
      <sz val="5.25"/>
      <color indexed="8"/>
      <name val="Trebuchet MS"/>
      <family val="2"/>
    </font>
    <font>
      <sz val="18.75"/>
      <color indexed="8"/>
      <name val="Garamond"/>
      <family val="1"/>
    </font>
    <font>
      <sz val="19.5"/>
      <color indexed="8"/>
      <name val="Garamond"/>
      <family val="1"/>
    </font>
    <font>
      <b/>
      <sz val="5.5"/>
      <color indexed="8"/>
      <name val="Trebuchet MS"/>
      <family val="2"/>
    </font>
    <font>
      <sz val="21.5"/>
      <color indexed="8"/>
      <name val="Garamond"/>
      <family val="1"/>
    </font>
    <font>
      <b/>
      <sz val="4.75"/>
      <color indexed="8"/>
      <name val="Trebuchet MS"/>
      <family val="2"/>
    </font>
    <font>
      <b/>
      <sz val="5.75"/>
      <color indexed="8"/>
      <name val="Trebuchet MS"/>
      <family val="2"/>
    </font>
    <font>
      <sz val="21.75"/>
      <color indexed="8"/>
      <name val="Garamond"/>
      <family val="1"/>
    </font>
    <font>
      <sz val="21"/>
      <color indexed="8"/>
      <name val="Garamond"/>
      <family val="1"/>
    </font>
    <font>
      <b/>
      <i/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1.5"/>
      <color indexed="8"/>
      <name val="Trebuchet MS"/>
      <family val="2"/>
    </font>
    <font>
      <b/>
      <i/>
      <u val="single"/>
      <sz val="10.5"/>
      <color indexed="8"/>
      <name val="Trebuchet MS"/>
      <family val="2"/>
    </font>
    <font>
      <b/>
      <i/>
      <u val="single"/>
      <sz val="11"/>
      <color indexed="8"/>
      <name val="Trebuchet MS"/>
      <family val="2"/>
    </font>
    <font>
      <b/>
      <i/>
      <u val="single"/>
      <sz val="11.75"/>
      <color indexed="8"/>
      <name val="Trebuchet MS"/>
      <family val="2"/>
    </font>
    <font>
      <b/>
      <i/>
      <u val="single"/>
      <sz val="10.25"/>
      <color indexed="8"/>
      <name val="Trebuchet MS"/>
      <family val="2"/>
    </font>
    <font>
      <b/>
      <i/>
      <u val="single"/>
      <sz val="9.75"/>
      <color indexed="8"/>
      <name val="Trebuchet MS"/>
      <family val="2"/>
    </font>
    <font>
      <b/>
      <i/>
      <u val="single"/>
      <sz val="11.25"/>
      <color indexed="8"/>
      <name val="Trebuchet MS"/>
      <family val="2"/>
    </font>
    <font>
      <b/>
      <u val="single"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 style="slantDashDot"/>
      <top style="thin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7" fillId="21" borderId="1" applyNumberFormat="0" applyAlignment="0" applyProtection="0"/>
    <xf numFmtId="0" fontId="88" fillId="22" borderId="2" applyNumberFormat="0" applyAlignment="0" applyProtection="0"/>
    <xf numFmtId="0" fontId="89" fillId="0" borderId="3" applyNumberFormat="0" applyFill="0" applyAlignment="0" applyProtection="0"/>
    <xf numFmtId="0" fontId="90" fillId="0" borderId="0" applyNumberFormat="0" applyFill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91" fillId="29" borderId="1" applyNumberFormat="0" applyAlignment="0" applyProtection="0"/>
    <xf numFmtId="0" fontId="9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4" fillId="21" borderId="5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0" fillId="0" borderId="8" applyNumberFormat="0" applyFill="0" applyAlignment="0" applyProtection="0"/>
    <xf numFmtId="0" fontId="100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9" fontId="4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4" fontId="2" fillId="0" borderId="22" xfId="0" applyNumberFormat="1" applyFont="1" applyBorder="1" applyAlignment="1">
      <alignment/>
    </xf>
    <xf numFmtId="17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1" fillId="0" borderId="29" xfId="0" applyFont="1" applyBorder="1" applyAlignment="1">
      <alignment/>
    </xf>
    <xf numFmtId="3" fontId="11" fillId="0" borderId="30" xfId="0" applyNumberFormat="1" applyFont="1" applyBorder="1" applyAlignment="1">
      <alignment/>
    </xf>
    <xf numFmtId="4" fontId="12" fillId="0" borderId="31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0" fontId="11" fillId="0" borderId="30" xfId="0" applyFont="1" applyBorder="1" applyAlignment="1">
      <alignment/>
    </xf>
    <xf numFmtId="4" fontId="4" fillId="0" borderId="31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9" fontId="4" fillId="0" borderId="39" xfId="52" applyFont="1" applyBorder="1" applyAlignment="1">
      <alignment/>
    </xf>
    <xf numFmtId="9" fontId="4" fillId="0" borderId="39" xfId="52" applyNumberFormat="1" applyFont="1" applyBorder="1" applyAlignment="1">
      <alignment/>
    </xf>
    <xf numFmtId="9" fontId="4" fillId="0" borderId="40" xfId="52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4" fillId="0" borderId="0" xfId="52" applyFont="1" applyBorder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171" fontId="12" fillId="0" borderId="0" xfId="46" applyFont="1" applyAlignment="1">
      <alignment/>
    </xf>
    <xf numFmtId="17" fontId="10" fillId="0" borderId="0" xfId="0" applyNumberFormat="1" applyFont="1" applyAlignment="1">
      <alignment/>
    </xf>
    <xf numFmtId="3" fontId="12" fillId="0" borderId="3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3" fontId="11" fillId="0" borderId="3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17" fillId="0" borderId="0" xfId="0" applyFont="1" applyAlignment="1">
      <alignment/>
    </xf>
    <xf numFmtId="17" fontId="1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2" fillId="0" borderId="41" xfId="0" applyFont="1" applyBorder="1" applyAlignment="1">
      <alignment horizontal="center"/>
    </xf>
    <xf numFmtId="3" fontId="12" fillId="0" borderId="31" xfId="0" applyNumberFormat="1" applyFont="1" applyBorder="1" applyAlignment="1">
      <alignment/>
    </xf>
    <xf numFmtId="3" fontId="2" fillId="0" borderId="34" xfId="46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1" fillId="0" borderId="30" xfId="0" applyNumberFormat="1" applyFont="1" applyFill="1" applyBorder="1" applyAlignment="1">
      <alignment/>
    </xf>
    <xf numFmtId="4" fontId="12" fillId="0" borderId="31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4" fontId="11" fillId="0" borderId="32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2" fillId="0" borderId="29" xfId="0" applyFont="1" applyBorder="1" applyAlignment="1">
      <alignment/>
    </xf>
    <xf numFmtId="4" fontId="12" fillId="0" borderId="42" xfId="0" applyNumberFormat="1" applyFont="1" applyBorder="1" applyAlignment="1">
      <alignment/>
    </xf>
    <xf numFmtId="0" fontId="3" fillId="0" borderId="34" xfId="0" applyFont="1" applyBorder="1" applyAlignment="1">
      <alignment/>
    </xf>
    <xf numFmtId="9" fontId="4" fillId="0" borderId="35" xfId="52" applyFont="1" applyBorder="1" applyAlignment="1">
      <alignment/>
    </xf>
    <xf numFmtId="9" fontId="4" fillId="0" borderId="43" xfId="52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0" fontId="4" fillId="0" borderId="35" xfId="52" applyNumberFormat="1" applyFont="1" applyBorder="1" applyAlignment="1">
      <alignment/>
    </xf>
    <xf numFmtId="4" fontId="12" fillId="0" borderId="41" xfId="0" applyNumberFormat="1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11" fillId="0" borderId="31" xfId="0" applyNumberFormat="1" applyFont="1" applyFill="1" applyBorder="1" applyAlignment="1">
      <alignment/>
    </xf>
    <xf numFmtId="4" fontId="12" fillId="0" borderId="44" xfId="0" applyNumberFormat="1" applyFont="1" applyBorder="1" applyAlignment="1">
      <alignment/>
    </xf>
    <xf numFmtId="10" fontId="12" fillId="0" borderId="44" xfId="0" applyNumberFormat="1" applyFont="1" applyBorder="1" applyAlignment="1">
      <alignment/>
    </xf>
    <xf numFmtId="4" fontId="12" fillId="0" borderId="45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11" fillId="0" borderId="51" xfId="0" applyFont="1" applyBorder="1" applyAlignment="1">
      <alignment/>
    </xf>
    <xf numFmtId="4" fontId="12" fillId="0" borderId="52" xfId="0" applyNumberFormat="1" applyFont="1" applyBorder="1" applyAlignment="1">
      <alignment/>
    </xf>
    <xf numFmtId="4" fontId="12" fillId="0" borderId="53" xfId="0" applyNumberFormat="1" applyFont="1" applyBorder="1" applyAlignment="1">
      <alignment/>
    </xf>
    <xf numFmtId="0" fontId="3" fillId="0" borderId="54" xfId="0" applyFont="1" applyBorder="1" applyAlignment="1">
      <alignment/>
    </xf>
    <xf numFmtId="9" fontId="4" fillId="0" borderId="55" xfId="52" applyFont="1" applyBorder="1" applyAlignment="1">
      <alignment/>
    </xf>
    <xf numFmtId="9" fontId="4" fillId="0" borderId="56" xfId="52" applyFont="1" applyBorder="1" applyAlignment="1">
      <alignment/>
    </xf>
    <xf numFmtId="3" fontId="2" fillId="0" borderId="57" xfId="0" applyNumberFormat="1" applyFont="1" applyBorder="1" applyAlignment="1">
      <alignment/>
    </xf>
    <xf numFmtId="4" fontId="12" fillId="0" borderId="58" xfId="0" applyNumberFormat="1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17" fontId="20" fillId="0" borderId="0" xfId="0" applyNumberFormat="1" applyFont="1" applyFill="1" applyAlignment="1">
      <alignment horizontal="center"/>
    </xf>
    <xf numFmtId="17" fontId="21" fillId="0" borderId="0" xfId="0" applyNumberFormat="1" applyFont="1" applyAlignment="1">
      <alignment/>
    </xf>
    <xf numFmtId="0" fontId="2" fillId="0" borderId="63" xfId="0" applyFont="1" applyBorder="1" applyAlignment="1">
      <alignment horizontal="center"/>
    </xf>
    <xf numFmtId="17" fontId="20" fillId="0" borderId="0" xfId="0" applyNumberFormat="1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5" fillId="39" borderId="0" xfId="0" applyFont="1" applyFill="1" applyAlignment="1">
      <alignment horizontal="center"/>
    </xf>
    <xf numFmtId="4" fontId="12" fillId="0" borderId="64" xfId="0" applyNumberFormat="1" applyFont="1" applyBorder="1" applyAlignment="1">
      <alignment/>
    </xf>
    <xf numFmtId="4" fontId="12" fillId="0" borderId="65" xfId="0" applyNumberFormat="1" applyFont="1" applyBorder="1" applyAlignment="1">
      <alignment/>
    </xf>
    <xf numFmtId="4" fontId="12" fillId="0" borderId="66" xfId="0" applyNumberFormat="1" applyFont="1" applyBorder="1" applyAlignment="1">
      <alignment/>
    </xf>
    <xf numFmtId="10" fontId="4" fillId="0" borderId="39" xfId="52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0" fontId="4" fillId="0" borderId="67" xfId="52" applyNumberFormat="1" applyFont="1" applyBorder="1" applyAlignment="1">
      <alignment/>
    </xf>
    <xf numFmtId="9" fontId="4" fillId="0" borderId="68" xfId="52" applyFont="1" applyBorder="1" applyAlignment="1">
      <alignment/>
    </xf>
    <xf numFmtId="10" fontId="4" fillId="0" borderId="55" xfId="52" applyNumberFormat="1" applyFont="1" applyBorder="1" applyAlignment="1">
      <alignment/>
    </xf>
    <xf numFmtId="10" fontId="4" fillId="0" borderId="69" xfId="52" applyNumberFormat="1" applyFont="1" applyBorder="1" applyAlignment="1">
      <alignment/>
    </xf>
    <xf numFmtId="10" fontId="4" fillId="0" borderId="70" xfId="52" applyNumberFormat="1" applyFont="1" applyBorder="1" applyAlignment="1">
      <alignment/>
    </xf>
    <xf numFmtId="0" fontId="2" fillId="0" borderId="0" xfId="0" applyFont="1" applyAlignment="1">
      <alignment horizontal="right"/>
    </xf>
    <xf numFmtId="10" fontId="4" fillId="0" borderId="40" xfId="52" applyNumberFormat="1" applyFont="1" applyBorder="1" applyAlignment="1">
      <alignment/>
    </xf>
    <xf numFmtId="9" fontId="4" fillId="0" borderId="67" xfId="52" applyNumberFormat="1" applyFont="1" applyBorder="1" applyAlignment="1">
      <alignment/>
    </xf>
    <xf numFmtId="10" fontId="4" fillId="0" borderId="43" xfId="52" applyNumberFormat="1" applyFont="1" applyBorder="1" applyAlignment="1">
      <alignment/>
    </xf>
    <xf numFmtId="10" fontId="4" fillId="0" borderId="71" xfId="52" applyNumberFormat="1" applyFont="1" applyBorder="1" applyAlignment="1">
      <alignment/>
    </xf>
    <xf numFmtId="17" fontId="26" fillId="0" borderId="0" xfId="0" applyNumberFormat="1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4" fontId="12" fillId="0" borderId="72" xfId="0" applyNumberFormat="1" applyFont="1" applyBorder="1" applyAlignment="1">
      <alignment/>
    </xf>
    <xf numFmtId="0" fontId="2" fillId="41" borderId="73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74" xfId="0" applyFont="1" applyFill="1" applyBorder="1" applyAlignment="1">
      <alignment horizontal="center"/>
    </xf>
    <xf numFmtId="0" fontId="2" fillId="41" borderId="75" xfId="0" applyFont="1" applyFill="1" applyBorder="1" applyAlignment="1">
      <alignment horizontal="center"/>
    </xf>
    <xf numFmtId="0" fontId="30" fillId="42" borderId="76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9" fontId="4" fillId="0" borderId="40" xfId="52" applyNumberFormat="1" applyFont="1" applyBorder="1" applyAlignment="1">
      <alignment/>
    </xf>
    <xf numFmtId="9" fontId="4" fillId="0" borderId="69" xfId="52" applyNumberFormat="1" applyFont="1" applyBorder="1" applyAlignment="1">
      <alignment/>
    </xf>
    <xf numFmtId="9" fontId="4" fillId="0" borderId="35" xfId="52" applyNumberFormat="1" applyFont="1" applyBorder="1" applyAlignment="1">
      <alignment/>
    </xf>
    <xf numFmtId="0" fontId="31" fillId="0" borderId="0" xfId="0" applyFont="1" applyAlignment="1">
      <alignment/>
    </xf>
    <xf numFmtId="4" fontId="11" fillId="0" borderId="30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11" fillId="43" borderId="78" xfId="0" applyFont="1" applyFill="1" applyBorder="1" applyAlignment="1">
      <alignment vertical="center"/>
    </xf>
    <xf numFmtId="0" fontId="11" fillId="43" borderId="78" xfId="0" applyFont="1" applyFill="1" applyBorder="1" applyAlignment="1">
      <alignment horizontal="center" vertical="center"/>
    </xf>
    <xf numFmtId="0" fontId="31" fillId="43" borderId="78" xfId="0" applyFont="1" applyFill="1" applyBorder="1" applyAlignment="1">
      <alignment horizontal="center" vertical="center"/>
    </xf>
    <xf numFmtId="0" fontId="31" fillId="43" borderId="7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78" xfId="0" applyNumberFormat="1" applyFont="1" applyBorder="1" applyAlignment="1">
      <alignment horizontal="center" vertical="center"/>
    </xf>
    <xf numFmtId="3" fontId="11" fillId="0" borderId="78" xfId="0" applyNumberFormat="1" applyFont="1" applyBorder="1" applyAlignment="1">
      <alignment horizontal="center" vertical="center"/>
    </xf>
    <xf numFmtId="3" fontId="31" fillId="43" borderId="78" xfId="0" applyNumberFormat="1" applyFont="1" applyFill="1" applyBorder="1" applyAlignment="1">
      <alignment horizontal="center" vertical="center"/>
    </xf>
    <xf numFmtId="4" fontId="11" fillId="0" borderId="31" xfId="0" applyNumberFormat="1" applyFont="1" applyBorder="1" applyAlignment="1">
      <alignment/>
    </xf>
    <xf numFmtId="4" fontId="2" fillId="0" borderId="57" xfId="0" applyNumberFormat="1" applyFont="1" applyBorder="1" applyAlignment="1">
      <alignment/>
    </xf>
    <xf numFmtId="4" fontId="11" fillId="0" borderId="30" xfId="0" applyNumberFormat="1" applyFont="1" applyFill="1" applyBorder="1" applyAlignment="1">
      <alignment/>
    </xf>
    <xf numFmtId="4" fontId="11" fillId="0" borderId="31" xfId="0" applyNumberFormat="1" applyFont="1" applyFill="1" applyBorder="1" applyAlignment="1">
      <alignment/>
    </xf>
    <xf numFmtId="4" fontId="11" fillId="0" borderId="35" xfId="0" applyNumberFormat="1" applyFont="1" applyBorder="1" applyAlignment="1">
      <alignment/>
    </xf>
    <xf numFmtId="4" fontId="11" fillId="0" borderId="34" xfId="0" applyNumberFormat="1" applyFont="1" applyBorder="1" applyAlignment="1">
      <alignment/>
    </xf>
    <xf numFmtId="4" fontId="11" fillId="0" borderId="36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4" borderId="81" xfId="0" applyFont="1" applyFill="1" applyBorder="1" applyAlignment="1">
      <alignment horizontal="center"/>
    </xf>
    <xf numFmtId="0" fontId="2" fillId="44" borderId="82" xfId="0" applyFont="1" applyFill="1" applyBorder="1" applyAlignment="1">
      <alignment horizontal="center"/>
    </xf>
    <xf numFmtId="0" fontId="2" fillId="44" borderId="83" xfId="0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0.994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9"/>
                </a:gs>
                <a:gs pos="50000">
                  <a:srgbClr val="666699"/>
                </a:gs>
                <a:gs pos="100000">
                  <a:srgbClr val="30304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2A2A2"/>
                </a:gs>
                <a:gs pos="50000">
                  <a:srgbClr val="CCFFFF"/>
                </a:gs>
                <a:gs pos="100000">
                  <a:srgbClr val="82A2A2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61112448"/>
        <c:axId val="13141121"/>
      </c:bar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13141121"/>
        <c:crosses val="autoZero"/>
        <c:auto val="1"/>
        <c:lblOffset val="100"/>
        <c:tickLblSkip val="1"/>
        <c:noMultiLvlLbl val="0"/>
      </c:catAx>
      <c:valAx>
        <c:axId val="13141121"/>
        <c:scaling>
          <c:orientation val="minMax"/>
          <c:max val="37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611124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25"/>
          <c:y val="0.9395"/>
          <c:w val="0.494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125"/>
          <c:w val="0.981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CULTURA!$C$46:$C$52</c:f>
              <c:strCache/>
            </c:strRef>
          </c:cat>
          <c:val>
            <c:numRef>
              <c:f>CULTURA!$A$46:$A$52</c:f>
              <c:numCache/>
            </c:numRef>
          </c:val>
        </c:ser>
        <c:ser>
          <c:idx val="1"/>
          <c:order val="1"/>
          <c:tx>
            <c:strRef>
              <c:f>CULTURA!$B$45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CULTURA!$C$46:$C$52</c:f>
              <c:strCache/>
            </c:strRef>
          </c:cat>
          <c:val>
            <c:numRef>
              <c:f>CULTURA!$B$46:$B$52</c:f>
              <c:numCache/>
            </c:numRef>
          </c:val>
        </c:ser>
        <c:axId val="44179802"/>
        <c:axId val="62073899"/>
      </c:bar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62073899"/>
        <c:crosses val="autoZero"/>
        <c:auto val="1"/>
        <c:lblOffset val="100"/>
        <c:tickLblSkip val="1"/>
        <c:noMultiLvlLbl val="0"/>
      </c:catAx>
      <c:valAx>
        <c:axId val="62073899"/>
        <c:scaling>
          <c:orientation val="minMax"/>
          <c:max val="2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44179802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3175"/>
          <c:w val="0.531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21794180"/>
        <c:axId val="61929893"/>
      </c:bar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61929893"/>
        <c:crosses val="autoZero"/>
        <c:auto val="1"/>
        <c:lblOffset val="100"/>
        <c:tickLblSkip val="1"/>
        <c:noMultiLvlLbl val="0"/>
      </c:catAx>
      <c:valAx>
        <c:axId val="61929893"/>
        <c:scaling>
          <c:orientation val="minMax"/>
          <c:max val="2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1794180"/>
        <c:crossesAt val="1"/>
        <c:crossBetween val="between"/>
        <c:dispUnits/>
        <c:majorUnit val="2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4525"/>
          <c:w val="0.509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-0.00475"/>
          <c:y val="-0.018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7375"/>
          <c:w val="0.98575"/>
          <c:h val="0.91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20498126"/>
        <c:axId val="50265407"/>
      </c:bar3D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</a:defRPr>
            </a:pPr>
          </a:p>
        </c:txPr>
        <c:crossAx val="50265407"/>
        <c:crosses val="autoZero"/>
        <c:auto val="1"/>
        <c:lblOffset val="100"/>
        <c:tickLblSkip val="1"/>
        <c:noMultiLvlLbl val="0"/>
      </c:catAx>
      <c:valAx>
        <c:axId val="50265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04981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4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GOB!$A$52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GOB!$A$53:$A$59</c:f>
              <c:numCache/>
            </c:numRef>
          </c:val>
        </c:ser>
        <c:ser>
          <c:idx val="1"/>
          <c:order val="1"/>
          <c:tx>
            <c:strRef>
              <c:f>GOB!$B$52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GOB!$B$53:$B$59</c:f>
              <c:numCache/>
            </c:numRef>
          </c:val>
        </c:ser>
        <c:axId val="51161226"/>
        <c:axId val="57797851"/>
      </c:bar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57797851"/>
        <c:crosses val="autoZero"/>
        <c:auto val="1"/>
        <c:lblOffset val="100"/>
        <c:tickLblSkip val="1"/>
        <c:noMultiLvlLbl val="0"/>
      </c:catAx>
      <c:valAx>
        <c:axId val="57797851"/>
        <c:scaling>
          <c:orientation val="minMax"/>
          <c:max val="96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5116122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75"/>
          <c:y val="0.935"/>
          <c:w val="0.527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4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50418612"/>
        <c:axId val="51114325"/>
      </c:bar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51114325"/>
        <c:crosses val="autoZero"/>
        <c:auto val="1"/>
        <c:lblOffset val="100"/>
        <c:tickLblSkip val="1"/>
        <c:noMultiLvlLbl val="0"/>
      </c:catAx>
      <c:valAx>
        <c:axId val="51114325"/>
        <c:scaling>
          <c:orientation val="minMax"/>
          <c:max val="8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1" i="0" u="none" baseline="0">
                <a:solidFill>
                  <a:srgbClr val="000000"/>
                </a:solidFill>
              </a:defRPr>
            </a:pPr>
          </a:p>
        </c:txPr>
        <c:crossAx val="50418612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825"/>
          <c:y val="0.93825"/>
          <c:w val="0.486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6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57375742"/>
        <c:axId val="46619631"/>
      </c:bar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46619631"/>
        <c:crosses val="autoZero"/>
        <c:auto val="1"/>
        <c:lblOffset val="100"/>
        <c:tickLblSkip val="1"/>
        <c:noMultiLvlLbl val="0"/>
      </c:catAx>
      <c:valAx>
        <c:axId val="46619631"/>
        <c:scaling>
          <c:orientation val="minMax"/>
          <c:max val="15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57375742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5"/>
          <c:y val="0.94025"/>
          <c:w val="0.531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3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16923496"/>
        <c:axId val="18093737"/>
      </c:bar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18093737"/>
        <c:crosses val="autoZero"/>
        <c:auto val="1"/>
        <c:lblOffset val="100"/>
        <c:tickLblSkip val="1"/>
        <c:noMultiLvlLbl val="0"/>
      </c:catAx>
      <c:valAx>
        <c:axId val="18093737"/>
        <c:scaling>
          <c:orientation val="minMax"/>
          <c:max val="28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</a:defRPr>
            </a:pPr>
          </a:p>
        </c:txPr>
        <c:crossAx val="16923496"/>
        <c:crossesAt val="1"/>
        <c:crossBetween val="between"/>
        <c:dispUnits/>
        <c:majorUnit val="2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385"/>
          <c:w val="0.550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7"/>
                  </a:gs>
                  <a:gs pos="50000">
                    <a:srgbClr val="666699"/>
                  </a:gs>
                  <a:gs pos="100000">
                    <a:srgbClr val="2F2F47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28625906"/>
        <c:axId val="56306563"/>
      </c:bar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56306563"/>
        <c:crosses val="autoZero"/>
        <c:auto val="1"/>
        <c:lblOffset val="100"/>
        <c:tickLblSkip val="1"/>
        <c:noMultiLvlLbl val="0"/>
      </c:catAx>
      <c:valAx>
        <c:axId val="56306563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</a:defRPr>
            </a:pPr>
          </a:p>
        </c:txPr>
        <c:crossAx val="28625906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25"/>
          <c:y val="0.93425"/>
          <c:w val="0.464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8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5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'CD'!$A$44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'CD'!$C$45:$C$51</c:f>
              <c:strCache/>
            </c:strRef>
          </c:cat>
          <c:val>
            <c:numRef>
              <c:f>'CD'!$A$45:$A$51</c:f>
              <c:numCache/>
            </c:numRef>
          </c:val>
        </c:ser>
        <c:ser>
          <c:idx val="1"/>
          <c:order val="1"/>
          <c:tx>
            <c:strRef>
              <c:f>'CD'!$B$44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'CD'!$C$45:$C$51</c:f>
              <c:strCache/>
            </c:strRef>
          </c:cat>
          <c:val>
            <c:numRef>
              <c:f>'CD'!$B$45:$B$51</c:f>
              <c:numCache/>
            </c:numRef>
          </c:val>
        </c:ser>
        <c:axId val="36997020"/>
        <c:axId val="64537725"/>
      </c:bar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64537725"/>
        <c:crosses val="autoZero"/>
        <c:auto val="1"/>
        <c:lblOffset val="100"/>
        <c:tickLblSkip val="1"/>
        <c:noMultiLvlLbl val="0"/>
      </c:catAx>
      <c:valAx>
        <c:axId val="64537725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36997020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75"/>
          <c:y val="0.93325"/>
          <c:w val="0.522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43968614"/>
        <c:axId val="60173207"/>
      </c:bar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60173207"/>
        <c:crosses val="autoZero"/>
        <c:auto val="1"/>
        <c:lblOffset val="100"/>
        <c:tickLblSkip val="1"/>
        <c:noMultiLvlLbl val="0"/>
      </c:catAx>
      <c:valAx>
        <c:axId val="60173207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43968614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5"/>
          <c:y val="0.922"/>
          <c:w val="0.621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4687952"/>
        <c:axId val="42191569"/>
      </c:barChart>
      <c:catAx>
        <c:axId val="468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</a:defRPr>
            </a:pPr>
          </a:p>
        </c:txPr>
        <c:crossAx val="42191569"/>
        <c:crosses val="autoZero"/>
        <c:auto val="1"/>
        <c:lblOffset val="100"/>
        <c:tickLblSkip val="1"/>
        <c:noMultiLvlLbl val="0"/>
      </c:catAx>
      <c:valAx>
        <c:axId val="42191569"/>
        <c:scaling>
          <c:orientation val="minMax"/>
          <c:max val="29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</a:defRPr>
            </a:pPr>
          </a:p>
        </c:txPr>
        <c:crossAx val="4687952"/>
        <c:crossesAt val="1"/>
        <c:crossBetween val="between"/>
        <c:dispUnits/>
        <c:majorUnit val="2000000"/>
        <c:minorUnit val="58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25"/>
          <c:y val="0.937"/>
          <c:w val="0.530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Gráfico 1"/>
        <xdr:cNvGraphicFramePr/>
      </xdr:nvGraphicFramePr>
      <xdr:xfrm>
        <a:off x="2333625" y="3171825"/>
        <a:ext cx="6581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12</xdr:row>
      <xdr:rowOff>57150</xdr:rowOff>
    </xdr:from>
    <xdr:to>
      <xdr:col>13</xdr:col>
      <xdr:colOff>409575</xdr:colOff>
      <xdr:row>26</xdr:row>
      <xdr:rowOff>133350</xdr:rowOff>
    </xdr:to>
    <xdr:graphicFrame>
      <xdr:nvGraphicFramePr>
        <xdr:cNvPr id="1" name="Gráfico 1"/>
        <xdr:cNvGraphicFramePr/>
      </xdr:nvGraphicFramePr>
      <xdr:xfrm>
        <a:off x="2247900" y="2676525"/>
        <a:ext cx="6677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Gráfico 1"/>
        <xdr:cNvGraphicFramePr/>
      </xdr:nvGraphicFramePr>
      <xdr:xfrm>
        <a:off x="1876425" y="2714625"/>
        <a:ext cx="6886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33</xdr:row>
      <xdr:rowOff>142875</xdr:rowOff>
    </xdr:to>
    <xdr:graphicFrame>
      <xdr:nvGraphicFramePr>
        <xdr:cNvPr id="1" name="Gráfico 2"/>
        <xdr:cNvGraphicFramePr/>
      </xdr:nvGraphicFramePr>
      <xdr:xfrm>
        <a:off x="314325" y="3886200"/>
        <a:ext cx="8020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104775</xdr:rowOff>
    </xdr:from>
    <xdr:to>
      <xdr:col>12</xdr:col>
      <xdr:colOff>114300</xdr:colOff>
      <xdr:row>35</xdr:row>
      <xdr:rowOff>104775</xdr:rowOff>
    </xdr:to>
    <xdr:graphicFrame>
      <xdr:nvGraphicFramePr>
        <xdr:cNvPr id="1" name="Gráfico 1"/>
        <xdr:cNvGraphicFramePr/>
      </xdr:nvGraphicFramePr>
      <xdr:xfrm>
        <a:off x="1895475" y="4248150"/>
        <a:ext cx="67818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13</xdr:col>
      <xdr:colOff>352425</xdr:colOff>
      <xdr:row>31</xdr:row>
      <xdr:rowOff>28575</xdr:rowOff>
    </xdr:to>
    <xdr:graphicFrame>
      <xdr:nvGraphicFramePr>
        <xdr:cNvPr id="1" name="Gráfico 1"/>
        <xdr:cNvGraphicFramePr/>
      </xdr:nvGraphicFramePr>
      <xdr:xfrm>
        <a:off x="2295525" y="3609975"/>
        <a:ext cx="6762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142875</xdr:rowOff>
    </xdr:from>
    <xdr:to>
      <xdr:col>12</xdr:col>
      <xdr:colOff>371475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2152650" y="3219450"/>
        <a:ext cx="6515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15</xdr:row>
      <xdr:rowOff>171450</xdr:rowOff>
    </xdr:from>
    <xdr:to>
      <xdr:col>12</xdr:col>
      <xdr:colOff>581025</xdr:colOff>
      <xdr:row>31</xdr:row>
      <xdr:rowOff>19050</xdr:rowOff>
    </xdr:to>
    <xdr:graphicFrame>
      <xdr:nvGraphicFramePr>
        <xdr:cNvPr id="1" name="Gráfico 1"/>
        <xdr:cNvGraphicFramePr/>
      </xdr:nvGraphicFramePr>
      <xdr:xfrm>
        <a:off x="2038350" y="3352800"/>
        <a:ext cx="67151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47625</xdr:rowOff>
    </xdr:from>
    <xdr:to>
      <xdr:col>12</xdr:col>
      <xdr:colOff>352425</xdr:colOff>
      <xdr:row>30</xdr:row>
      <xdr:rowOff>28575</xdr:rowOff>
    </xdr:to>
    <xdr:graphicFrame>
      <xdr:nvGraphicFramePr>
        <xdr:cNvPr id="1" name="Gráfico 1"/>
        <xdr:cNvGraphicFramePr/>
      </xdr:nvGraphicFramePr>
      <xdr:xfrm>
        <a:off x="2286000" y="3190875"/>
        <a:ext cx="64008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12</xdr:col>
      <xdr:colOff>400050</xdr:colOff>
      <xdr:row>29</xdr:row>
      <xdr:rowOff>66675</xdr:rowOff>
    </xdr:to>
    <xdr:graphicFrame>
      <xdr:nvGraphicFramePr>
        <xdr:cNvPr id="1" name="Gráfico 1"/>
        <xdr:cNvGraphicFramePr/>
      </xdr:nvGraphicFramePr>
      <xdr:xfrm>
        <a:off x="2228850" y="2914650"/>
        <a:ext cx="62674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1419225" y="2990850"/>
        <a:ext cx="57435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Gráfico 1"/>
        <xdr:cNvGraphicFramePr/>
      </xdr:nvGraphicFramePr>
      <xdr:xfrm>
        <a:off x="2047875" y="3152775"/>
        <a:ext cx="7000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A1">
      <selection activeCell="O18" sqref="O18"/>
    </sheetView>
  </sheetViews>
  <sheetFormatPr defaultColWidth="11.421875" defaultRowHeight="15"/>
  <cols>
    <col min="1" max="1" width="17.57421875" style="1" customWidth="1"/>
    <col min="2" max="2" width="11.8515625" style="1" customWidth="1"/>
    <col min="3" max="3" width="12.140625" style="1" customWidth="1"/>
    <col min="4" max="4" width="7.57421875" style="1" customWidth="1"/>
    <col min="5" max="5" width="9.28125" style="1" customWidth="1"/>
    <col min="6" max="6" width="9.140625" style="1" customWidth="1"/>
    <col min="7" max="7" width="10.421875" style="1" customWidth="1"/>
    <col min="8" max="8" width="7.8515625" style="1" customWidth="1"/>
    <col min="9" max="9" width="12.140625" style="1" customWidth="1"/>
    <col min="10" max="10" width="9.28125" style="1" customWidth="1"/>
    <col min="11" max="11" width="10.28125" style="1" customWidth="1"/>
    <col min="12" max="12" width="7.57421875" style="1" customWidth="1"/>
    <col min="13" max="13" width="10.57421875" style="1" customWidth="1"/>
    <col min="14" max="14" width="9.00390625" style="1" customWidth="1"/>
    <col min="15" max="15" width="10.28125" style="1" customWidth="1"/>
    <col min="16" max="16" width="12.28125" style="1" customWidth="1"/>
    <col min="17" max="17" width="12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41" t="s">
        <v>0</v>
      </c>
      <c r="B2" s="182" t="s">
        <v>100</v>
      </c>
      <c r="C2" s="182"/>
      <c r="D2" s="183"/>
      <c r="E2" s="183"/>
      <c r="L2" s="181" t="s">
        <v>23</v>
      </c>
      <c r="M2" s="181"/>
      <c r="N2" s="146">
        <v>41426</v>
      </c>
      <c r="O2" s="22"/>
    </row>
    <row r="3" spans="2:5" ht="16.5">
      <c r="B3" s="184"/>
      <c r="C3" s="184"/>
      <c r="E3" s="21"/>
    </row>
    <row r="4" spans="3:5" ht="17.25" thickBot="1">
      <c r="C4" s="23"/>
      <c r="D4" s="23"/>
      <c r="E4" s="21"/>
    </row>
    <row r="5" spans="1:17" ht="18" thickTop="1">
      <c r="A5" s="100"/>
      <c r="B5" s="185" t="s">
        <v>1</v>
      </c>
      <c r="C5" s="186"/>
      <c r="D5" s="185" t="s">
        <v>2</v>
      </c>
      <c r="E5" s="186"/>
      <c r="F5" s="185" t="s">
        <v>3</v>
      </c>
      <c r="G5" s="186"/>
      <c r="H5" s="185" t="s">
        <v>4</v>
      </c>
      <c r="I5" s="186"/>
      <c r="J5" s="185" t="s">
        <v>32</v>
      </c>
      <c r="K5" s="186"/>
      <c r="L5" s="101" t="s">
        <v>86</v>
      </c>
      <c r="M5" s="102"/>
      <c r="N5" s="185" t="s">
        <v>33</v>
      </c>
      <c r="O5" s="186"/>
      <c r="P5" s="103" t="s">
        <v>5</v>
      </c>
      <c r="Q5" s="113" t="s">
        <v>38</v>
      </c>
    </row>
    <row r="6" spans="1:17" ht="17.25">
      <c r="A6" s="104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19" t="s">
        <v>25</v>
      </c>
      <c r="Q6" s="114" t="s">
        <v>39</v>
      </c>
    </row>
    <row r="7" spans="1:18" ht="17.25">
      <c r="A7" s="105" t="s">
        <v>14</v>
      </c>
      <c r="B7" s="163">
        <f>751626-147912.46</f>
        <v>603713.54</v>
      </c>
      <c r="C7" s="32">
        <f>144977.61+1587624.31-C8-C9</f>
        <v>467460.19000000006</v>
      </c>
      <c r="D7" s="31">
        <v>50500</v>
      </c>
      <c r="E7" s="32">
        <f>3007.21+41454.18-E8-E9-E10</f>
        <v>29618.35</v>
      </c>
      <c r="F7" s="31">
        <f>627700-43860</f>
        <v>583840</v>
      </c>
      <c r="G7" s="32">
        <f>29873.39+393874.9-G8-G9-G10</f>
        <v>219293.17000000004</v>
      </c>
      <c r="H7" s="77">
        <v>146935</v>
      </c>
      <c r="I7" s="78">
        <f>119524.94+1382412.11-I8-I9</f>
        <v>1249073.08</v>
      </c>
      <c r="J7" s="77">
        <v>14500</v>
      </c>
      <c r="K7" s="78">
        <f>163337.7-K8</f>
        <v>162439.1</v>
      </c>
      <c r="L7" s="31">
        <v>0</v>
      </c>
      <c r="M7" s="32">
        <f>48475+74429.5-M9-M10</f>
        <v>72700</v>
      </c>
      <c r="N7" s="31">
        <v>943969.46</v>
      </c>
      <c r="O7" s="32">
        <f>18055.9+570789.48-O8-O9</f>
        <v>432916.12</v>
      </c>
      <c r="P7" s="106">
        <f>+O7+K7+I7+G7+E7+C7+M7</f>
        <v>2633500.0100000002</v>
      </c>
      <c r="Q7" s="131">
        <f>+B7+D7+F7+H7+J7+N7+L7-P7</f>
        <v>-290042.01000000024</v>
      </c>
      <c r="R7" s="5"/>
    </row>
    <row r="8" spans="1:18" ht="17.25">
      <c r="A8" s="105" t="s">
        <v>142</v>
      </c>
      <c r="B8" s="31">
        <f>1531124-20600</f>
        <v>1510524</v>
      </c>
      <c r="C8" s="32">
        <f>43288.46+536697.38</f>
        <v>579985.84</v>
      </c>
      <c r="D8" s="31">
        <v>9000</v>
      </c>
      <c r="E8" s="32">
        <v>1243.25</v>
      </c>
      <c r="F8" s="31">
        <v>24500</v>
      </c>
      <c r="G8" s="32">
        <v>21405.99</v>
      </c>
      <c r="H8" s="77">
        <v>180000</v>
      </c>
      <c r="I8" s="78">
        <f>15776.94+210249.93</f>
        <v>226026.87</v>
      </c>
      <c r="J8" s="77">
        <v>0</v>
      </c>
      <c r="K8" s="78">
        <v>898.6</v>
      </c>
      <c r="L8" s="31">
        <v>0</v>
      </c>
      <c r="M8" s="32">
        <v>0</v>
      </c>
      <c r="N8" s="34">
        <v>0</v>
      </c>
      <c r="O8" s="32">
        <v>67995.62</v>
      </c>
      <c r="P8" s="106">
        <f>+O8+K8+I8+G8+E8+C8</f>
        <v>897556.1699999999</v>
      </c>
      <c r="Q8" s="132">
        <f>+B8+D8+F8+H8+J8+N8-P8</f>
        <v>826467.8300000001</v>
      </c>
      <c r="R8" s="5"/>
    </row>
    <row r="9" spans="1:18" ht="17.25">
      <c r="A9" s="105" t="s">
        <v>96</v>
      </c>
      <c r="B9" s="31">
        <v>1363040</v>
      </c>
      <c r="C9" s="32">
        <f>54854.08+630301.81</f>
        <v>685155.89</v>
      </c>
      <c r="D9" s="31">
        <f>41807-1100</f>
        <v>40707</v>
      </c>
      <c r="E9" s="32">
        <v>13093.39</v>
      </c>
      <c r="F9" s="31">
        <v>385571</v>
      </c>
      <c r="G9" s="32">
        <f>9865.9+161128.72</f>
        <v>170994.62</v>
      </c>
      <c r="H9" s="31">
        <v>463226</v>
      </c>
      <c r="I9" s="32">
        <v>26837.1</v>
      </c>
      <c r="J9" s="31">
        <v>109328</v>
      </c>
      <c r="K9" s="32">
        <v>0</v>
      </c>
      <c r="L9" s="31">
        <f>13120-4800</f>
        <v>8320</v>
      </c>
      <c r="M9" s="36">
        <v>1729.5</v>
      </c>
      <c r="N9" s="31">
        <v>0</v>
      </c>
      <c r="O9" s="32">
        <v>87933.64</v>
      </c>
      <c r="P9" s="106">
        <f>+O9+K9+I9+G9+E9+C9+M9</f>
        <v>985744.14</v>
      </c>
      <c r="Q9" s="132">
        <f>+B9+D9+F9+H9+J9+N9-P9+L9</f>
        <v>1384447.8599999999</v>
      </c>
      <c r="R9" s="5"/>
    </row>
    <row r="10" spans="1:18" ht="17.25">
      <c r="A10" s="105" t="s">
        <v>143</v>
      </c>
      <c r="B10" s="31">
        <v>0</v>
      </c>
      <c r="C10" s="32">
        <v>0</v>
      </c>
      <c r="D10" s="31">
        <v>18500</v>
      </c>
      <c r="E10" s="32">
        <v>506.4</v>
      </c>
      <c r="F10" s="31">
        <v>333000</v>
      </c>
      <c r="G10" s="32">
        <v>12054.51</v>
      </c>
      <c r="H10" s="31">
        <v>50000</v>
      </c>
      <c r="I10" s="32">
        <v>0</v>
      </c>
      <c r="J10" s="31">
        <f>7000+2803450</f>
        <v>2810450</v>
      </c>
      <c r="K10" s="32">
        <v>0</v>
      </c>
      <c r="L10" s="31">
        <v>250000</v>
      </c>
      <c r="M10" s="36">
        <v>48475</v>
      </c>
      <c r="N10" s="31">
        <v>0</v>
      </c>
      <c r="O10" s="32">
        <v>0</v>
      </c>
      <c r="P10" s="106">
        <f>+O10+K10+I10+G10+E10+C10+M10</f>
        <v>61035.91</v>
      </c>
      <c r="Q10" s="132">
        <f>+B10+D10+F10+H10+J10+N10-P10+L10</f>
        <v>3400914.09</v>
      </c>
      <c r="R10" s="5"/>
    </row>
    <row r="11" spans="1:17" ht="9" customHeight="1">
      <c r="A11" s="105"/>
      <c r="B11" s="31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6"/>
      <c r="N11" s="31"/>
      <c r="O11" s="32"/>
      <c r="P11" s="106"/>
      <c r="Q11" s="132"/>
    </row>
    <row r="12" spans="1:17" ht="18" thickBot="1">
      <c r="A12" s="115" t="s">
        <v>11</v>
      </c>
      <c r="B12" s="175">
        <f>SUM(B7:B10)</f>
        <v>3477277.54</v>
      </c>
      <c r="C12" s="112">
        <f aca="true" t="shared" si="0" ref="C12:P12">SUM(C7:C10)</f>
        <v>1732601.92</v>
      </c>
      <c r="D12" s="111">
        <f>SUM(D7:D10)</f>
        <v>118707</v>
      </c>
      <c r="E12" s="112">
        <f t="shared" si="0"/>
        <v>44461.39</v>
      </c>
      <c r="F12" s="111">
        <f>SUM(F7:F10)</f>
        <v>1326911</v>
      </c>
      <c r="G12" s="112">
        <f t="shared" si="0"/>
        <v>423748.29000000004</v>
      </c>
      <c r="H12" s="111">
        <f>SUM(H7:H10)</f>
        <v>840161</v>
      </c>
      <c r="I12" s="112">
        <f t="shared" si="0"/>
        <v>1501937.0500000003</v>
      </c>
      <c r="J12" s="111">
        <f>SUM(J7:J10)</f>
        <v>2934278</v>
      </c>
      <c r="K12" s="112">
        <f t="shared" si="0"/>
        <v>163337.7</v>
      </c>
      <c r="L12" s="111">
        <f>SUM(L7:L10)</f>
        <v>258320</v>
      </c>
      <c r="M12" s="112">
        <f t="shared" si="0"/>
        <v>122904.5</v>
      </c>
      <c r="N12" s="111">
        <f>SUM(N7:N10)</f>
        <v>943969.46</v>
      </c>
      <c r="O12" s="112">
        <f t="shared" si="0"/>
        <v>588845.38</v>
      </c>
      <c r="P12" s="107">
        <f t="shared" si="0"/>
        <v>4577836.23</v>
      </c>
      <c r="Q12" s="133">
        <f>SUM(Q7:Q10)</f>
        <v>5321787.77</v>
      </c>
    </row>
    <row r="13" spans="1:17" ht="18.75" thickBot="1" thickTop="1">
      <c r="A13" s="116" t="s">
        <v>30</v>
      </c>
      <c r="B13" s="108"/>
      <c r="C13" s="138">
        <f>+C12/B12</f>
        <v>0.4982639148211333</v>
      </c>
      <c r="D13" s="109"/>
      <c r="E13" s="138">
        <f>+E12/D12</f>
        <v>0.3745473308229506</v>
      </c>
      <c r="F13" s="109"/>
      <c r="G13" s="138">
        <f>+G12/F12</f>
        <v>0.31934944393406944</v>
      </c>
      <c r="H13" s="109"/>
      <c r="I13" s="138">
        <f>+I12/H12</f>
        <v>1.787677659400996</v>
      </c>
      <c r="J13" s="109"/>
      <c r="K13" s="160">
        <f>+K12/J12</f>
        <v>0.05566538003556582</v>
      </c>
      <c r="L13" s="137"/>
      <c r="M13" s="139">
        <f>+M12/L12</f>
        <v>0.4757839114276866</v>
      </c>
      <c r="N13" s="110"/>
      <c r="O13" s="140">
        <f>+O12/N12</f>
        <v>0.6237970664856043</v>
      </c>
      <c r="P13" s="46"/>
      <c r="Q13" s="5"/>
    </row>
    <row r="14" spans="1:17" ht="17.25" thickTop="1">
      <c r="A14" s="47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5"/>
    </row>
    <row r="15" ht="16.5">
      <c r="P15" s="5"/>
    </row>
    <row r="37" spans="1:6" ht="16.5">
      <c r="A37" s="51"/>
      <c r="B37" s="51"/>
      <c r="C37" s="51"/>
      <c r="D37" s="51"/>
      <c r="E37" s="51"/>
      <c r="F37" s="51"/>
    </row>
    <row r="39" spans="3:11" ht="16.5">
      <c r="C39" s="50"/>
      <c r="D39" s="5"/>
      <c r="E39" s="51"/>
      <c r="F39" s="51"/>
      <c r="K39" s="1" t="s">
        <v>84</v>
      </c>
    </row>
    <row r="40" spans="3:6" ht="16.5">
      <c r="C40" s="5"/>
      <c r="D40" s="5"/>
      <c r="E40" s="51"/>
      <c r="F40" s="51"/>
    </row>
    <row r="41" spans="3:6" ht="16.5">
      <c r="C41" s="5"/>
      <c r="D41" s="5"/>
      <c r="E41" s="51"/>
      <c r="F41" s="51"/>
    </row>
    <row r="42" spans="3:6" ht="16.5">
      <c r="C42" s="5"/>
      <c r="D42" s="5"/>
      <c r="E42" s="51"/>
      <c r="F42" s="51"/>
    </row>
    <row r="43" spans="3:6" ht="16.5">
      <c r="C43" s="5"/>
      <c r="D43" s="5"/>
      <c r="E43" s="51"/>
      <c r="F43" s="51"/>
    </row>
    <row r="44" spans="3:6" ht="16.5">
      <c r="C44" s="5"/>
      <c r="D44" s="5"/>
      <c r="E44" s="51"/>
      <c r="F44" s="51"/>
    </row>
    <row r="46" spans="1:3" ht="17.25">
      <c r="A46" s="20" t="s">
        <v>26</v>
      </c>
      <c r="B46" s="52" t="s">
        <v>27</v>
      </c>
      <c r="C46" s="20" t="s">
        <v>28</v>
      </c>
    </row>
    <row r="47" spans="1:3" ht="17.25">
      <c r="A47" s="53">
        <f>+B12</f>
        <v>3477277.54</v>
      </c>
      <c r="B47" s="50">
        <f>+C12</f>
        <v>1732601.92</v>
      </c>
      <c r="C47" s="20" t="s">
        <v>1</v>
      </c>
    </row>
    <row r="48" spans="1:3" ht="17.25">
      <c r="A48" s="53">
        <f>+D12</f>
        <v>118707</v>
      </c>
      <c r="B48" s="50">
        <f>+E12</f>
        <v>44461.39</v>
      </c>
      <c r="C48" s="20" t="s">
        <v>2</v>
      </c>
    </row>
    <row r="49" spans="1:3" ht="17.25">
      <c r="A49" s="53">
        <f>+F12</f>
        <v>1326911</v>
      </c>
      <c r="B49" s="50">
        <f>+G12</f>
        <v>423748.29000000004</v>
      </c>
      <c r="C49" s="20" t="s">
        <v>3</v>
      </c>
    </row>
    <row r="50" spans="1:3" ht="17.25">
      <c r="A50" s="53">
        <f>+H12</f>
        <v>840161</v>
      </c>
      <c r="B50" s="50">
        <f>+I12</f>
        <v>1501937.0500000003</v>
      </c>
      <c r="C50" s="20" t="s">
        <v>34</v>
      </c>
    </row>
    <row r="51" spans="1:3" ht="17.25">
      <c r="A51" s="53">
        <f>+J12</f>
        <v>2934278</v>
      </c>
      <c r="B51" s="50">
        <f>+K12</f>
        <v>163337.7</v>
      </c>
      <c r="C51" s="20" t="s">
        <v>32</v>
      </c>
    </row>
    <row r="52" spans="1:3" ht="17.25">
      <c r="A52" s="53">
        <f>+L12</f>
        <v>258320</v>
      </c>
      <c r="B52" s="50">
        <f>+M12</f>
        <v>122904.5</v>
      </c>
      <c r="C52" s="20" t="s">
        <v>93</v>
      </c>
    </row>
    <row r="53" spans="1:3" ht="17.25">
      <c r="A53" s="53">
        <f>+N12</f>
        <v>943969.46</v>
      </c>
      <c r="B53" s="50">
        <f>+O12</f>
        <v>588845.38</v>
      </c>
      <c r="C53" s="20" t="s">
        <v>35</v>
      </c>
    </row>
    <row r="55" spans="1:2" ht="16.5">
      <c r="A55" s="53"/>
      <c r="B55" s="50"/>
    </row>
  </sheetData>
  <sheetProtection/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4724409448818898" right="0.3937007874015748" top="0.7480314960629921" bottom="0.984251968503937" header="0.35433070866141736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P12" sqref="P12"/>
    </sheetView>
  </sheetViews>
  <sheetFormatPr defaultColWidth="11.421875" defaultRowHeight="15"/>
  <cols>
    <col min="1" max="1" width="15.421875" style="1" customWidth="1"/>
    <col min="2" max="2" width="9.28125" style="1" customWidth="1"/>
    <col min="3" max="3" width="12.00390625" style="1" customWidth="1"/>
    <col min="4" max="4" width="7.140625" style="1" customWidth="1"/>
    <col min="5" max="6" width="9.57421875" style="1" customWidth="1"/>
    <col min="7" max="7" width="10.57421875" style="1" customWidth="1"/>
    <col min="8" max="8" width="8.140625" style="1" customWidth="1"/>
    <col min="9" max="9" width="12.7109375" style="1" customWidth="1"/>
    <col min="10" max="10" width="7.421875" style="1" customWidth="1"/>
    <col min="11" max="11" width="8.57421875" style="1" customWidth="1"/>
    <col min="12" max="12" width="7.57421875" style="1" customWidth="1"/>
    <col min="13" max="13" width="9.7109375" style="1" customWidth="1"/>
    <col min="14" max="14" width="7.57421875" style="1" customWidth="1"/>
    <col min="15" max="15" width="10.28125" style="1" customWidth="1"/>
    <col min="16" max="16" width="12.28125" style="1" customWidth="1"/>
    <col min="17" max="17" width="12.00390625" style="1" customWidth="1"/>
    <col min="18" max="18" width="11.8515625" style="1" bestFit="1" customWidth="1"/>
    <col min="19" max="16384" width="11.421875" style="1" customWidth="1"/>
  </cols>
  <sheetData>
    <row r="2" spans="1:15" ht="18">
      <c r="A2" s="141" t="s">
        <v>0</v>
      </c>
      <c r="B2" s="182" t="s">
        <v>114</v>
      </c>
      <c r="C2" s="199"/>
      <c r="D2" s="199"/>
      <c r="E2" s="200"/>
      <c r="F2" s="200"/>
      <c r="G2" s="195"/>
      <c r="K2" s="201" t="s">
        <v>23</v>
      </c>
      <c r="L2" s="201"/>
      <c r="M2" s="146">
        <v>41426</v>
      </c>
      <c r="O2" s="54"/>
    </row>
    <row r="3" spans="2:4" ht="16.5">
      <c r="B3" s="197"/>
      <c r="C3" s="198"/>
      <c r="D3" s="198"/>
    </row>
    <row r="4" ht="17.25" thickBot="1"/>
    <row r="5" spans="1:17" ht="17.25">
      <c r="A5" s="24"/>
      <c r="B5" s="189" t="s">
        <v>1</v>
      </c>
      <c r="C5" s="190"/>
      <c r="D5" s="189" t="s">
        <v>2</v>
      </c>
      <c r="E5" s="190"/>
      <c r="F5" s="189" t="s">
        <v>3</v>
      </c>
      <c r="G5" s="190"/>
      <c r="H5" s="189" t="s">
        <v>4</v>
      </c>
      <c r="I5" s="190"/>
      <c r="J5" s="189" t="s">
        <v>32</v>
      </c>
      <c r="K5" s="190"/>
      <c r="L5" s="189" t="s">
        <v>36</v>
      </c>
      <c r="M5" s="190"/>
      <c r="N5" s="189" t="s">
        <v>33</v>
      </c>
      <c r="O5" s="190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1" t="s">
        <v>25</v>
      </c>
      <c r="Q6" s="29" t="s">
        <v>39</v>
      </c>
    </row>
    <row r="7" spans="1:17" ht="17.25">
      <c r="A7" s="93"/>
      <c r="B7" s="155"/>
      <c r="C7" s="156"/>
      <c r="D7" s="155"/>
      <c r="E7" s="156"/>
      <c r="F7" s="155"/>
      <c r="G7" s="156"/>
      <c r="H7" s="155"/>
      <c r="I7" s="156"/>
      <c r="J7" s="155"/>
      <c r="K7" s="156"/>
      <c r="L7" s="155"/>
      <c r="M7" s="155"/>
      <c r="N7" s="155"/>
      <c r="O7" s="156"/>
      <c r="P7" s="157"/>
      <c r="Q7" s="158"/>
    </row>
    <row r="8" spans="1:18" ht="17.25">
      <c r="A8" s="30" t="s">
        <v>119</v>
      </c>
      <c r="B8" s="31">
        <v>2802541</v>
      </c>
      <c r="C8" s="32">
        <f>480618.35+956967.35</f>
        <v>1437585.7</v>
      </c>
      <c r="D8" s="31">
        <v>48200</v>
      </c>
      <c r="E8" s="32">
        <f>7266.98+25308.59</f>
        <v>32575.57</v>
      </c>
      <c r="F8" s="31">
        <v>1765670</v>
      </c>
      <c r="G8" s="32">
        <f>204491.24+682071.37</f>
        <v>886562.61</v>
      </c>
      <c r="H8" s="31">
        <v>697982</v>
      </c>
      <c r="I8" s="32">
        <f>50486.05+1331341.5</f>
        <v>1381827.55</v>
      </c>
      <c r="J8" s="31">
        <v>5000</v>
      </c>
      <c r="K8" s="32">
        <v>0</v>
      </c>
      <c r="L8" s="31">
        <v>100000</v>
      </c>
      <c r="M8" s="36">
        <f>1381.6+1185.22</f>
        <v>2566.8199999999997</v>
      </c>
      <c r="N8" s="31">
        <v>425000</v>
      </c>
      <c r="O8" s="32">
        <f>1800+464991.8</f>
        <v>466791.8</v>
      </c>
      <c r="P8" s="33">
        <f>+C8+E8+G8+I8+K8+O8+M8</f>
        <v>4207910.05</v>
      </c>
      <c r="Q8" s="33">
        <f>+B8+D8+F8+H8+J8+N8+L8-P8</f>
        <v>1636482.9500000002</v>
      </c>
      <c r="R8" s="5"/>
    </row>
    <row r="9" spans="1:18" ht="17.25">
      <c r="A9" s="30"/>
      <c r="B9" s="31"/>
      <c r="C9" s="32"/>
      <c r="D9" s="31"/>
      <c r="E9" s="32"/>
      <c r="F9" s="31"/>
      <c r="G9" s="32"/>
      <c r="H9" s="31"/>
      <c r="I9" s="32"/>
      <c r="J9" s="31"/>
      <c r="K9" s="32"/>
      <c r="L9" s="31"/>
      <c r="M9" s="36"/>
      <c r="N9" s="31"/>
      <c r="O9" s="32"/>
      <c r="P9" s="33"/>
      <c r="Q9" s="33"/>
      <c r="R9" s="5"/>
    </row>
    <row r="10" spans="1:18" ht="18" thickBot="1">
      <c r="A10" s="37" t="s">
        <v>11</v>
      </c>
      <c r="B10" s="38">
        <f aca="true" t="shared" si="0" ref="B10:Q10">SUM(B8:B9)</f>
        <v>2802541</v>
      </c>
      <c r="C10" s="39">
        <f t="shared" si="0"/>
        <v>1437585.7</v>
      </c>
      <c r="D10" s="38">
        <f t="shared" si="0"/>
        <v>48200</v>
      </c>
      <c r="E10" s="39">
        <f t="shared" si="0"/>
        <v>32575.57</v>
      </c>
      <c r="F10" s="38">
        <f t="shared" si="0"/>
        <v>1765670</v>
      </c>
      <c r="G10" s="39">
        <f t="shared" si="0"/>
        <v>886562.61</v>
      </c>
      <c r="H10" s="38">
        <f t="shared" si="0"/>
        <v>697982</v>
      </c>
      <c r="I10" s="39">
        <f t="shared" si="0"/>
        <v>1381827.55</v>
      </c>
      <c r="J10" s="38">
        <f t="shared" si="0"/>
        <v>5000</v>
      </c>
      <c r="K10" s="39">
        <f t="shared" si="0"/>
        <v>0</v>
      </c>
      <c r="L10" s="38">
        <f t="shared" si="0"/>
        <v>100000</v>
      </c>
      <c r="M10" s="39">
        <f t="shared" si="0"/>
        <v>2566.8199999999997</v>
      </c>
      <c r="N10" s="38">
        <f t="shared" si="0"/>
        <v>425000</v>
      </c>
      <c r="O10" s="39">
        <f t="shared" si="0"/>
        <v>466791.8</v>
      </c>
      <c r="P10" s="40">
        <f t="shared" si="0"/>
        <v>4207910.05</v>
      </c>
      <c r="Q10" s="40">
        <f t="shared" si="0"/>
        <v>1636482.9500000002</v>
      </c>
      <c r="R10" s="5"/>
    </row>
    <row r="11" spans="1:17" ht="17.25" thickBot="1">
      <c r="A11" s="41" t="s">
        <v>30</v>
      </c>
      <c r="B11" s="42"/>
      <c r="C11" s="134">
        <f>+C10/B10</f>
        <v>0.5129579549416048</v>
      </c>
      <c r="D11" s="134"/>
      <c r="E11" s="44">
        <f>+E10/D10</f>
        <v>0.6758417012448132</v>
      </c>
      <c r="F11" s="134"/>
      <c r="G11" s="134">
        <f>+G10/F10</f>
        <v>0.5021111589368342</v>
      </c>
      <c r="H11" s="134"/>
      <c r="I11" s="134">
        <f>+I10/H10</f>
        <v>1.9797466840119087</v>
      </c>
      <c r="J11" s="134"/>
      <c r="K11" s="44">
        <f>+K10/J10</f>
        <v>0</v>
      </c>
      <c r="L11" s="159"/>
      <c r="M11" s="44">
        <f>+M10/L10</f>
        <v>0.0256682</v>
      </c>
      <c r="N11" s="145"/>
      <c r="O11" s="136">
        <f>+O10/N10</f>
        <v>1.0983336470588234</v>
      </c>
      <c r="P11" s="56"/>
      <c r="Q11" s="5"/>
    </row>
    <row r="12" spans="1:17" ht="16.5">
      <c r="A12" s="47"/>
      <c r="B12" s="4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135"/>
      <c r="Q12" s="5"/>
    </row>
    <row r="13" spans="1:16" ht="16.5">
      <c r="A13" s="47"/>
      <c r="B13" s="4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30" spans="5:8" ht="16.5">
      <c r="E30" s="57"/>
      <c r="F30" s="57"/>
      <c r="G30" s="58"/>
      <c r="H30" s="58"/>
    </row>
    <row r="31" spans="5:8" ht="16.5">
      <c r="E31" s="59"/>
      <c r="F31" s="59"/>
      <c r="G31" s="59"/>
      <c r="H31" s="59"/>
    </row>
    <row r="36" spans="1:6" ht="16.5">
      <c r="A36" s="51"/>
      <c r="B36" s="51"/>
      <c r="C36" s="51"/>
      <c r="D36" s="51"/>
      <c r="E36" s="51"/>
      <c r="F36" s="51"/>
    </row>
    <row r="37" ht="16.5">
      <c r="C37" s="46"/>
    </row>
    <row r="38" spans="3:6" ht="16.5">
      <c r="C38" s="50"/>
      <c r="D38" s="5"/>
      <c r="E38" s="51"/>
      <c r="F38" s="51"/>
    </row>
    <row r="39" spans="3:6" ht="16.5">
      <c r="C39" s="50"/>
      <c r="D39" s="5"/>
      <c r="E39" s="51"/>
      <c r="F39" s="51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5" spans="1:5" ht="16.5">
      <c r="A45" s="60" t="s">
        <v>26</v>
      </c>
      <c r="B45" s="60" t="s">
        <v>27</v>
      </c>
      <c r="C45" s="60" t="s">
        <v>28</v>
      </c>
      <c r="D45" s="60"/>
      <c r="E45" s="61"/>
    </row>
    <row r="46" spans="1:3" ht="17.25">
      <c r="A46" s="62">
        <f>+B10</f>
        <v>2802541</v>
      </c>
      <c r="B46" s="63">
        <f>+C10</f>
        <v>1437585.7</v>
      </c>
      <c r="C46" s="60" t="s">
        <v>1</v>
      </c>
    </row>
    <row r="47" spans="1:3" ht="17.25">
      <c r="A47" s="62">
        <f>+D10</f>
        <v>48200</v>
      </c>
      <c r="B47" s="63">
        <f>+E10</f>
        <v>32575.57</v>
      </c>
      <c r="C47" s="60" t="s">
        <v>2</v>
      </c>
    </row>
    <row r="48" spans="1:3" ht="17.25">
      <c r="A48" s="62">
        <f>+F10</f>
        <v>1765670</v>
      </c>
      <c r="B48" s="63">
        <f>+G10</f>
        <v>886562.61</v>
      </c>
      <c r="C48" s="60" t="s">
        <v>3</v>
      </c>
    </row>
    <row r="49" spans="1:3" ht="17.25">
      <c r="A49" s="62">
        <f>+H10</f>
        <v>697982</v>
      </c>
      <c r="B49" s="63">
        <f>+I10</f>
        <v>1381827.55</v>
      </c>
      <c r="C49" s="60" t="s">
        <v>34</v>
      </c>
    </row>
    <row r="50" spans="1:3" ht="17.25">
      <c r="A50" s="62">
        <f>+J10</f>
        <v>5000</v>
      </c>
      <c r="B50" s="63">
        <f>+K10</f>
        <v>0</v>
      </c>
      <c r="C50" s="60" t="s">
        <v>32</v>
      </c>
    </row>
    <row r="51" spans="1:3" ht="17.25">
      <c r="A51" s="64">
        <f>+L10</f>
        <v>100000</v>
      </c>
      <c r="B51" s="63">
        <f>+M10</f>
        <v>2566.8199999999997</v>
      </c>
      <c r="C51" s="60" t="s">
        <v>97</v>
      </c>
    </row>
    <row r="52" spans="1:3" ht="17.25">
      <c r="A52" s="62">
        <f>+N10</f>
        <v>425000</v>
      </c>
      <c r="B52" s="63">
        <f>+O10</f>
        <v>466791.8</v>
      </c>
      <c r="C52" s="60" t="s">
        <v>35</v>
      </c>
    </row>
    <row r="53" spans="1:3" ht="17.25">
      <c r="A53" s="62"/>
      <c r="B53" s="62"/>
      <c r="C53" s="60"/>
    </row>
    <row r="54" spans="1:2" ht="16.5">
      <c r="A54" s="1">
        <v>2809993</v>
      </c>
      <c r="B54" s="5">
        <v>749308.3</v>
      </c>
    </row>
  </sheetData>
  <sheetProtection/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61" bottom="0.4330708661417323" header="0" footer="0"/>
  <pageSetup horizontalDpi="300" verticalDpi="3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2.28125" style="1" customWidth="1"/>
    <col min="4" max="4" width="6.8515625" style="1" customWidth="1"/>
    <col min="5" max="5" width="9.28125" style="1" customWidth="1"/>
    <col min="6" max="6" width="9.421875" style="1" customWidth="1"/>
    <col min="7" max="7" width="12.421875" style="1" customWidth="1"/>
    <col min="8" max="8" width="9.140625" style="1" customWidth="1"/>
    <col min="9" max="9" width="12.28125" style="1" customWidth="1"/>
    <col min="10" max="10" width="6.8515625" style="1" customWidth="1"/>
    <col min="11" max="11" width="8.57421875" style="1" customWidth="1"/>
    <col min="12" max="12" width="7.8515625" style="1" customWidth="1"/>
    <col min="13" max="13" width="9.57421875" style="1" customWidth="1"/>
    <col min="14" max="14" width="7.7109375" style="1" customWidth="1"/>
    <col min="15" max="15" width="10.57421875" style="1" customWidth="1"/>
    <col min="16" max="17" width="12.57421875" style="1" customWidth="1"/>
    <col min="18" max="18" width="11.7109375" style="1" bestFit="1" customWidth="1"/>
    <col min="19" max="16384" width="11.421875" style="1" customWidth="1"/>
  </cols>
  <sheetData>
    <row r="2" spans="1:15" ht="18">
      <c r="A2" s="141" t="s">
        <v>0</v>
      </c>
      <c r="B2" s="182" t="s">
        <v>115</v>
      </c>
      <c r="C2" s="199"/>
      <c r="D2" s="199"/>
      <c r="E2" s="200"/>
      <c r="F2" s="200"/>
      <c r="G2" s="195"/>
      <c r="K2" s="202" t="s">
        <v>23</v>
      </c>
      <c r="L2" s="203"/>
      <c r="M2" s="146">
        <v>41426</v>
      </c>
      <c r="O2" s="54"/>
    </row>
    <row r="3" spans="2:4" ht="16.5">
      <c r="B3" s="197"/>
      <c r="C3" s="198"/>
      <c r="D3" s="198"/>
    </row>
    <row r="4" ht="17.25" thickBot="1"/>
    <row r="5" spans="1:17" ht="17.25">
      <c r="A5" s="24"/>
      <c r="B5" s="189" t="s">
        <v>1</v>
      </c>
      <c r="C5" s="190"/>
      <c r="D5" s="189" t="s">
        <v>2</v>
      </c>
      <c r="E5" s="190"/>
      <c r="F5" s="189" t="s">
        <v>3</v>
      </c>
      <c r="G5" s="190"/>
      <c r="H5" s="189" t="s">
        <v>4</v>
      </c>
      <c r="I5" s="190"/>
      <c r="J5" s="189" t="s">
        <v>32</v>
      </c>
      <c r="K5" s="190"/>
      <c r="L5" s="189" t="s">
        <v>36</v>
      </c>
      <c r="M5" s="190"/>
      <c r="N5" s="189" t="s">
        <v>33</v>
      </c>
      <c r="O5" s="190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1" t="s">
        <v>25</v>
      </c>
      <c r="Q6" s="29" t="s">
        <v>39</v>
      </c>
    </row>
    <row r="7" spans="1:17" ht="17.25">
      <c r="A7" s="93"/>
      <c r="B7" s="155"/>
      <c r="C7" s="156"/>
      <c r="D7" s="155"/>
      <c r="E7" s="156"/>
      <c r="F7" s="155"/>
      <c r="G7" s="156"/>
      <c r="H7" s="155"/>
      <c r="I7" s="156"/>
      <c r="J7" s="155"/>
      <c r="K7" s="156"/>
      <c r="L7" s="155"/>
      <c r="M7" s="155"/>
      <c r="N7" s="155"/>
      <c r="O7" s="156"/>
      <c r="P7" s="157"/>
      <c r="Q7" s="158"/>
    </row>
    <row r="8" spans="1:18" ht="17.25">
      <c r="A8" s="30" t="s">
        <v>119</v>
      </c>
      <c r="B8" s="31">
        <v>2829569</v>
      </c>
      <c r="C8" s="32">
        <f>466930.41+919308.21</f>
        <v>1386238.6199999999</v>
      </c>
      <c r="D8" s="31">
        <v>69975</v>
      </c>
      <c r="E8" s="32">
        <f>3225.59+32351.32</f>
        <v>35576.91</v>
      </c>
      <c r="F8" s="31">
        <f>2245306-73000</f>
        <v>2172306</v>
      </c>
      <c r="G8" s="32">
        <f>238828.74+857672.61</f>
        <v>1096501.35</v>
      </c>
      <c r="H8" s="31">
        <f>1255979-13000</f>
        <v>1242979</v>
      </c>
      <c r="I8" s="32">
        <f>9215+1168422.76</f>
        <v>1177637.76</v>
      </c>
      <c r="J8" s="31">
        <v>55000</v>
      </c>
      <c r="K8" s="32">
        <v>29.14</v>
      </c>
      <c r="L8" s="31">
        <v>0</v>
      </c>
      <c r="M8" s="36">
        <f>5000+14689.97</f>
        <v>19689.97</v>
      </c>
      <c r="N8" s="31">
        <f>425000+86000</f>
        <v>511000</v>
      </c>
      <c r="O8" s="32">
        <f>23225+525050.04</f>
        <v>548275.04</v>
      </c>
      <c r="P8" s="33">
        <f>+C8+E8+G8+I8+K8+O8+M8</f>
        <v>4263948.79</v>
      </c>
      <c r="Q8" s="33">
        <f>+B8+D8+F8+H8+J8+N8+L8-P8</f>
        <v>2616880.21</v>
      </c>
      <c r="R8" s="5"/>
    </row>
    <row r="9" spans="1:18" ht="17.25" hidden="1">
      <c r="A9" s="30" t="s">
        <v>120</v>
      </c>
      <c r="B9" s="31">
        <v>0</v>
      </c>
      <c r="C9" s="32"/>
      <c r="D9" s="31">
        <v>0</v>
      </c>
      <c r="E9" s="32"/>
      <c r="F9" s="31">
        <v>0</v>
      </c>
      <c r="G9" s="32"/>
      <c r="H9" s="31">
        <v>0</v>
      </c>
      <c r="I9" s="32"/>
      <c r="J9" s="31">
        <v>0</v>
      </c>
      <c r="K9" s="32"/>
      <c r="L9" s="31">
        <v>0</v>
      </c>
      <c r="M9" s="36"/>
      <c r="N9" s="31">
        <v>0</v>
      </c>
      <c r="O9" s="32"/>
      <c r="P9" s="33">
        <f>+C9+E9+G9+I9+K9+O9</f>
        <v>0</v>
      </c>
      <c r="Q9" s="33">
        <f>+B9+D9+F9+H9+J9+N9-P9</f>
        <v>0</v>
      </c>
      <c r="R9" s="5"/>
    </row>
    <row r="10" spans="1:18" ht="17.25" hidden="1">
      <c r="A10" s="30" t="s">
        <v>121</v>
      </c>
      <c r="B10" s="31">
        <v>0</v>
      </c>
      <c r="C10" s="32"/>
      <c r="D10" s="34">
        <v>0</v>
      </c>
      <c r="E10" s="32"/>
      <c r="F10" s="31">
        <v>0</v>
      </c>
      <c r="G10" s="32"/>
      <c r="H10" s="31">
        <v>0</v>
      </c>
      <c r="I10" s="32"/>
      <c r="J10" s="34">
        <v>0</v>
      </c>
      <c r="K10" s="32"/>
      <c r="L10" s="31">
        <v>0</v>
      </c>
      <c r="M10" s="36"/>
      <c r="N10" s="31">
        <v>0</v>
      </c>
      <c r="O10" s="32"/>
      <c r="P10" s="33">
        <f>+C10+E10+G10+I10+K10+O10</f>
        <v>0</v>
      </c>
      <c r="Q10" s="33">
        <f>+B10+D10+F10+H10+J10+N10-P10</f>
        <v>0</v>
      </c>
      <c r="R10" s="5"/>
    </row>
    <row r="11" spans="1:18" ht="14.25" customHeight="1">
      <c r="A11" s="30"/>
      <c r="B11" s="31"/>
      <c r="C11" s="32"/>
      <c r="D11" s="34"/>
      <c r="E11" s="32"/>
      <c r="F11" s="31"/>
      <c r="G11" s="32"/>
      <c r="H11" s="31"/>
      <c r="I11" s="32"/>
      <c r="J11" s="34"/>
      <c r="K11" s="32"/>
      <c r="L11" s="36"/>
      <c r="M11" s="36"/>
      <c r="N11" s="31"/>
      <c r="O11" s="32"/>
      <c r="P11" s="33"/>
      <c r="Q11" s="33"/>
      <c r="R11" s="5"/>
    </row>
    <row r="12" spans="1:18" ht="18" thickBot="1">
      <c r="A12" s="37" t="s">
        <v>11</v>
      </c>
      <c r="B12" s="38">
        <f aca="true" t="shared" si="0" ref="B12:Q12">SUM(B8:B11)</f>
        <v>2829569</v>
      </c>
      <c r="C12" s="39">
        <f t="shared" si="0"/>
        <v>1386238.6199999999</v>
      </c>
      <c r="D12" s="38">
        <f t="shared" si="0"/>
        <v>69975</v>
      </c>
      <c r="E12" s="39">
        <f t="shared" si="0"/>
        <v>35576.91</v>
      </c>
      <c r="F12" s="38">
        <f t="shared" si="0"/>
        <v>2172306</v>
      </c>
      <c r="G12" s="39">
        <f t="shared" si="0"/>
        <v>1096501.35</v>
      </c>
      <c r="H12" s="38">
        <f t="shared" si="0"/>
        <v>1242979</v>
      </c>
      <c r="I12" s="39">
        <f t="shared" si="0"/>
        <v>1177637.76</v>
      </c>
      <c r="J12" s="38">
        <f t="shared" si="0"/>
        <v>55000</v>
      </c>
      <c r="K12" s="39">
        <f t="shared" si="0"/>
        <v>29.14</v>
      </c>
      <c r="L12" s="38">
        <f t="shared" si="0"/>
        <v>0</v>
      </c>
      <c r="M12" s="39">
        <f t="shared" si="0"/>
        <v>19689.97</v>
      </c>
      <c r="N12" s="38">
        <f t="shared" si="0"/>
        <v>511000</v>
      </c>
      <c r="O12" s="39">
        <f t="shared" si="0"/>
        <v>548275.04</v>
      </c>
      <c r="P12" s="40">
        <f t="shared" si="0"/>
        <v>4263948.79</v>
      </c>
      <c r="Q12" s="40">
        <f t="shared" si="0"/>
        <v>2616880.21</v>
      </c>
      <c r="R12" s="5"/>
    </row>
    <row r="13" spans="1:17" ht="17.25" thickBot="1">
      <c r="A13" s="41" t="s">
        <v>30</v>
      </c>
      <c r="B13" s="42"/>
      <c r="C13" s="134">
        <f>+C12/B12</f>
        <v>0.48991158017351755</v>
      </c>
      <c r="D13" s="134"/>
      <c r="E13" s="134">
        <f>+E12/D12</f>
        <v>0.5084231511254019</v>
      </c>
      <c r="F13" s="134"/>
      <c r="G13" s="134">
        <f>+G12/F12</f>
        <v>0.5047637625638377</v>
      </c>
      <c r="H13" s="43"/>
      <c r="I13" s="134">
        <f>+I12/H12</f>
        <v>0.9474317426119025</v>
      </c>
      <c r="J13" s="43"/>
      <c r="K13" s="134">
        <f>+K12/J12</f>
        <v>0.0005298181818181819</v>
      </c>
      <c r="L13" s="45"/>
      <c r="M13" s="142"/>
      <c r="N13" s="43"/>
      <c r="O13" s="136">
        <f>+O12/N12</f>
        <v>1.0729452837573386</v>
      </c>
      <c r="P13" s="56"/>
      <c r="Q13" s="5"/>
    </row>
    <row r="14" spans="1:17" ht="9" customHeight="1">
      <c r="A14" s="47"/>
      <c r="B14" s="47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"/>
    </row>
    <row r="15" spans="1:16" ht="16.5">
      <c r="A15" s="47"/>
      <c r="B15" s="4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5"/>
    </row>
    <row r="32" spans="5:8" ht="16.5">
      <c r="E32" s="57"/>
      <c r="F32" s="57"/>
      <c r="G32" s="58"/>
      <c r="H32" s="58"/>
    </row>
    <row r="33" spans="5:8" ht="16.5">
      <c r="E33" s="59"/>
      <c r="F33" s="59"/>
      <c r="G33" s="59"/>
      <c r="H33" s="59"/>
    </row>
    <row r="38" spans="1:6" ht="16.5">
      <c r="A38" s="51"/>
      <c r="B38" s="51"/>
      <c r="C38" s="51"/>
      <c r="D38" s="51"/>
      <c r="E38" s="51"/>
      <c r="F38" s="51"/>
    </row>
    <row r="39" ht="16.5">
      <c r="C39" s="46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7" spans="1:5" ht="16.5">
      <c r="A47" s="60" t="s">
        <v>26</v>
      </c>
      <c r="B47" s="60" t="s">
        <v>27</v>
      </c>
      <c r="C47" s="60" t="s">
        <v>28</v>
      </c>
      <c r="D47" s="60"/>
      <c r="E47" s="61"/>
    </row>
    <row r="48" spans="1:3" ht="17.25">
      <c r="A48" s="62">
        <f>+B12</f>
        <v>2829569</v>
      </c>
      <c r="B48" s="63">
        <f>+C12</f>
        <v>1386238.6199999999</v>
      </c>
      <c r="C48" s="60" t="s">
        <v>1</v>
      </c>
    </row>
    <row r="49" spans="1:3" ht="17.25">
      <c r="A49" s="62">
        <f>+D12</f>
        <v>69975</v>
      </c>
      <c r="B49" s="63">
        <f>+E12</f>
        <v>35576.91</v>
      </c>
      <c r="C49" s="60" t="s">
        <v>2</v>
      </c>
    </row>
    <row r="50" spans="1:3" ht="17.25">
      <c r="A50" s="62">
        <f>+F12</f>
        <v>2172306</v>
      </c>
      <c r="B50" s="63">
        <f>+G12</f>
        <v>1096501.35</v>
      </c>
      <c r="C50" s="60" t="s">
        <v>3</v>
      </c>
    </row>
    <row r="51" spans="1:3" ht="17.25">
      <c r="A51" s="62">
        <f>+H12</f>
        <v>1242979</v>
      </c>
      <c r="B51" s="63">
        <f>+I12</f>
        <v>1177637.76</v>
      </c>
      <c r="C51" s="60" t="s">
        <v>34</v>
      </c>
    </row>
    <row r="52" spans="1:3" ht="17.25">
      <c r="A52" s="62">
        <f>+J12</f>
        <v>55000</v>
      </c>
      <c r="B52" s="63">
        <f>+K12</f>
        <v>29.14</v>
      </c>
      <c r="C52" s="60" t="s">
        <v>32</v>
      </c>
    </row>
    <row r="53" spans="1:3" ht="17.25">
      <c r="A53" s="64">
        <f>+L12</f>
        <v>0</v>
      </c>
      <c r="B53" s="63">
        <f>+M12</f>
        <v>19689.97</v>
      </c>
      <c r="C53" s="60" t="s">
        <v>97</v>
      </c>
    </row>
    <row r="54" spans="1:3" ht="17.25">
      <c r="A54" s="62">
        <f>+N12</f>
        <v>511000</v>
      </c>
      <c r="B54" s="63">
        <f>+O12</f>
        <v>548275.04</v>
      </c>
      <c r="C54" s="60" t="s">
        <v>35</v>
      </c>
    </row>
    <row r="55" spans="1:3" ht="17.25">
      <c r="A55" s="62">
        <f>SUM(A48:A54)</f>
        <v>6880829</v>
      </c>
      <c r="B55" s="63">
        <f>SUM(B48:B54)</f>
        <v>4263948.79</v>
      </c>
      <c r="C55" s="60"/>
    </row>
    <row r="56" ht="16.5">
      <c r="B56" s="5"/>
    </row>
  </sheetData>
  <sheetProtection/>
  <mergeCells count="10">
    <mergeCell ref="B2:G2"/>
    <mergeCell ref="K2:L2"/>
    <mergeCell ref="B3:D3"/>
    <mergeCell ref="J5:K5"/>
    <mergeCell ref="N5:O5"/>
    <mergeCell ref="B5:C5"/>
    <mergeCell ref="D5:E5"/>
    <mergeCell ref="F5:G5"/>
    <mergeCell ref="H5:I5"/>
    <mergeCell ref="L5:M5"/>
  </mergeCells>
  <printOptions/>
  <pageMargins left="0.7480314960629921" right="0.5511811023622047" top="0.9448818897637796" bottom="0.5905511811023623" header="0.3937007874015748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L19" sqref="L19"/>
    </sheetView>
  </sheetViews>
  <sheetFormatPr defaultColWidth="11.421875" defaultRowHeight="15"/>
  <cols>
    <col min="1" max="1" width="20.57421875" style="1" customWidth="1"/>
    <col min="2" max="2" width="13.8515625" style="1" customWidth="1"/>
    <col min="3" max="3" width="14.00390625" style="1" customWidth="1"/>
    <col min="4" max="4" width="9.28125" style="1" customWidth="1"/>
    <col min="5" max="5" width="13.140625" style="1" customWidth="1"/>
    <col min="6" max="6" width="12.28125" style="1" customWidth="1"/>
    <col min="7" max="7" width="13.28125" style="1" customWidth="1"/>
    <col min="8" max="8" width="12.140625" style="1" customWidth="1"/>
    <col min="9" max="9" width="12.28125" style="1" customWidth="1"/>
    <col min="10" max="10" width="12.140625" style="1" customWidth="1"/>
    <col min="11" max="11" width="13.00390625" style="1" customWidth="1"/>
    <col min="12" max="12" width="14.140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7.25">
      <c r="A1" s="162" t="s">
        <v>41</v>
      </c>
    </row>
    <row r="2" spans="1:3" ht="18.75" thickBot="1">
      <c r="A2" s="17" t="s">
        <v>42</v>
      </c>
      <c r="C2" s="146">
        <v>41426</v>
      </c>
    </row>
    <row r="3" spans="1:12" ht="18" thickTop="1">
      <c r="A3" s="2" t="s">
        <v>43</v>
      </c>
      <c r="B3" s="149" t="s">
        <v>44</v>
      </c>
      <c r="C3" s="149" t="s">
        <v>25</v>
      </c>
      <c r="D3" s="149" t="s">
        <v>45</v>
      </c>
      <c r="E3" s="204" t="s">
        <v>46</v>
      </c>
      <c r="F3" s="205"/>
      <c r="G3" s="205"/>
      <c r="H3" s="205"/>
      <c r="I3" s="205"/>
      <c r="J3" s="205"/>
      <c r="K3" s="206"/>
      <c r="L3" s="151" t="s">
        <v>24</v>
      </c>
    </row>
    <row r="4" spans="1:12" ht="17.25">
      <c r="A4" s="3"/>
      <c r="B4" s="150" t="s">
        <v>47</v>
      </c>
      <c r="C4" s="150" t="s">
        <v>47</v>
      </c>
      <c r="D4" s="150" t="s">
        <v>48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49</v>
      </c>
      <c r="J4" s="4" t="s">
        <v>29</v>
      </c>
      <c r="K4" s="4" t="s">
        <v>35</v>
      </c>
      <c r="L4" s="152" t="s">
        <v>50</v>
      </c>
    </row>
    <row r="5" spans="1:12" ht="16.5">
      <c r="A5" s="153" t="s">
        <v>15</v>
      </c>
      <c r="B5" s="97">
        <f>+INT!P12+INT!Q12</f>
        <v>9899624</v>
      </c>
      <c r="C5" s="97">
        <f>SUM(E5:K5)</f>
        <v>4577836.23</v>
      </c>
      <c r="D5" s="98">
        <f>+C5/B5</f>
        <v>0.4624252628180626</v>
      </c>
      <c r="E5" s="97">
        <f>+INT!C12</f>
        <v>1732601.92</v>
      </c>
      <c r="F5" s="97">
        <f>+INT!E$12</f>
        <v>44461.39</v>
      </c>
      <c r="G5" s="97">
        <f>+INT!G$12</f>
        <v>423748.29000000004</v>
      </c>
      <c r="H5" s="97">
        <f>+INT!I$12</f>
        <v>1501937.0500000003</v>
      </c>
      <c r="I5" s="97">
        <f>+INT!K$12</f>
        <v>163337.7</v>
      </c>
      <c r="J5" s="97">
        <f>+INT!M12</f>
        <v>122904.5</v>
      </c>
      <c r="K5" s="97">
        <f>+INT!O$12</f>
        <v>588845.38</v>
      </c>
      <c r="L5" s="99">
        <f>+B5-C5</f>
        <v>5321787.77</v>
      </c>
    </row>
    <row r="6" spans="1:12" ht="16.5">
      <c r="A6" s="153" t="s">
        <v>16</v>
      </c>
      <c r="B6" s="97">
        <f>+GOB!P18+GOB!Q18</f>
        <v>14876107</v>
      </c>
      <c r="C6" s="97">
        <f>SUM(E6:K6)</f>
        <v>9463482.77</v>
      </c>
      <c r="D6" s="98">
        <f>+C6/B6</f>
        <v>0.6361531797263894</v>
      </c>
      <c r="E6" s="97">
        <f>+GOB!C18</f>
        <v>4674435.36</v>
      </c>
      <c r="F6" s="97">
        <f>+GOB!E18</f>
        <v>75176.26000000001</v>
      </c>
      <c r="G6" s="97">
        <f>+GOB!G18</f>
        <v>2244030.33</v>
      </c>
      <c r="H6" s="97">
        <f>+GOB!I18</f>
        <v>1123422.68</v>
      </c>
      <c r="I6" s="97">
        <f>+GOB!K18</f>
        <v>248435.03999999998</v>
      </c>
      <c r="J6" s="97">
        <f>+GOB!M18</f>
        <v>12698.189999999999</v>
      </c>
      <c r="K6" s="97">
        <f>+GOB!O18</f>
        <v>1085284.91</v>
      </c>
      <c r="L6" s="99">
        <f>+B6-C6</f>
        <v>5412624.23</v>
      </c>
    </row>
    <row r="7" spans="1:12" ht="16.5">
      <c r="A7" s="153" t="s">
        <v>17</v>
      </c>
      <c r="B7" s="97">
        <f>+SEH!P14+SEH!Q14</f>
        <v>13770637</v>
      </c>
      <c r="C7" s="97">
        <f>SUM(E7:K7)</f>
        <v>7069958.51</v>
      </c>
      <c r="D7" s="98">
        <f>+C7/B7</f>
        <v>0.5134082403014472</v>
      </c>
      <c r="E7" s="97">
        <f>+SEH!C14</f>
        <v>3752087.67</v>
      </c>
      <c r="F7" s="97">
        <f>+SEH!E14</f>
        <v>833213.36</v>
      </c>
      <c r="G7" s="97">
        <f>+SEH!G14</f>
        <v>1759024.64</v>
      </c>
      <c r="H7" s="97">
        <f>+SEH!I14</f>
        <v>0</v>
      </c>
      <c r="I7" s="97">
        <f>+SEH!K14</f>
        <v>5807</v>
      </c>
      <c r="J7" s="97">
        <f>+SEH!M14</f>
        <v>4817.13</v>
      </c>
      <c r="K7" s="97">
        <f>+SEH!O14</f>
        <v>715008.71</v>
      </c>
      <c r="L7" s="99">
        <f>+B7-C7</f>
        <v>6700678.49</v>
      </c>
    </row>
    <row r="8" spans="1:12" ht="16.5">
      <c r="A8" s="153" t="s">
        <v>20</v>
      </c>
      <c r="B8" s="97">
        <f>+SAS!P13+SAS!Q13</f>
        <v>29989833</v>
      </c>
      <c r="C8" s="97">
        <f aca="true" t="shared" si="0" ref="C8:C15">SUM(E8:K8)</f>
        <v>15777045.99</v>
      </c>
      <c r="D8" s="98">
        <f aca="true" t="shared" si="1" ref="D8:D15">+C8/B8</f>
        <v>0.5260798214514899</v>
      </c>
      <c r="E8" s="97">
        <f>+SAS!C13</f>
        <v>8100523.040000001</v>
      </c>
      <c r="F8" s="97">
        <f>+SAS!E13</f>
        <v>85119.12000000001</v>
      </c>
      <c r="G8" s="97">
        <f>+SAS!G13</f>
        <v>2373024.09</v>
      </c>
      <c r="H8" s="97">
        <f>+SAS!I13</f>
        <v>3388271.75</v>
      </c>
      <c r="I8" s="97">
        <f>+SAS!K13</f>
        <v>31278.31</v>
      </c>
      <c r="J8" s="97">
        <f>+SAS!M13</f>
        <v>37140.659999999996</v>
      </c>
      <c r="K8" s="97">
        <f>+SAS!O13</f>
        <v>1761689.0199999998</v>
      </c>
      <c r="L8" s="99">
        <f aca="true" t="shared" si="2" ref="L8:L15">+B8-C8</f>
        <v>14212787.01</v>
      </c>
    </row>
    <row r="9" spans="1:12" ht="16.5">
      <c r="A9" s="153" t="s">
        <v>18</v>
      </c>
      <c r="B9" s="97">
        <f>+SOP!P12+SOP!Q12</f>
        <v>43027128</v>
      </c>
      <c r="C9" s="97">
        <f t="shared" si="0"/>
        <v>12639696.25</v>
      </c>
      <c r="D9" s="98">
        <f t="shared" si="1"/>
        <v>0.29376109532572103</v>
      </c>
      <c r="E9" s="97">
        <f>+SOP!C12</f>
        <v>3055785.66</v>
      </c>
      <c r="F9" s="97">
        <f>+SOP!E12</f>
        <v>244333.13</v>
      </c>
      <c r="G9" s="97">
        <f>+SOP!G12</f>
        <v>1489953.6099999999</v>
      </c>
      <c r="H9" s="97">
        <f>+SOP!I12</f>
        <v>834429.4</v>
      </c>
      <c r="I9" s="97">
        <f>+SOP!K12</f>
        <v>74767.96</v>
      </c>
      <c r="J9" s="97">
        <f>+SOP!M12</f>
        <v>5367828.449999999</v>
      </c>
      <c r="K9" s="97">
        <f>+SOP!O12</f>
        <v>1572598.04</v>
      </c>
      <c r="L9" s="99">
        <f t="shared" si="2"/>
        <v>30387431.75</v>
      </c>
    </row>
    <row r="10" spans="1:12" ht="16.5">
      <c r="A10" s="153" t="s">
        <v>85</v>
      </c>
      <c r="B10" s="97">
        <f>+SFOI!P13+SFOI!Q13</f>
        <v>27563228</v>
      </c>
      <c r="C10" s="97">
        <f t="shared" si="0"/>
        <v>15973222.05</v>
      </c>
      <c r="D10" s="98">
        <f t="shared" si="1"/>
        <v>0.5795120241359248</v>
      </c>
      <c r="E10" s="97">
        <f>+SFOI!C13</f>
        <v>9093397.19</v>
      </c>
      <c r="F10" s="97">
        <f>+SFOI!E13</f>
        <v>320463.73</v>
      </c>
      <c r="G10" s="97">
        <f>+SFOI!G13</f>
        <v>3722666.59</v>
      </c>
      <c r="H10" s="97">
        <f>+SFOI!I13</f>
        <v>22428</v>
      </c>
      <c r="I10" s="97">
        <f>+SFOI!K13</f>
        <v>100625.32</v>
      </c>
      <c r="J10" s="97">
        <f>+SFOI!M13</f>
        <v>908.14</v>
      </c>
      <c r="K10" s="97">
        <f>+SFOI!O13</f>
        <v>2712733.08</v>
      </c>
      <c r="L10" s="99">
        <f t="shared" si="2"/>
        <v>11590005.95</v>
      </c>
    </row>
    <row r="11" spans="1:12" ht="16.5">
      <c r="A11" s="153" t="s">
        <v>21</v>
      </c>
      <c r="B11" s="97">
        <f>+'CD'!P11+'CD'!Q11</f>
        <v>2902727</v>
      </c>
      <c r="C11" s="97">
        <f t="shared" si="0"/>
        <v>1463622.5899999999</v>
      </c>
      <c r="D11" s="98">
        <f t="shared" si="1"/>
        <v>0.5042233010544911</v>
      </c>
      <c r="E11" s="97">
        <f>+'CD'!C11</f>
        <v>978304.6499999999</v>
      </c>
      <c r="F11" s="97">
        <f>+'CD'!E11</f>
        <v>4479.96</v>
      </c>
      <c r="G11" s="97">
        <f>+'CD'!G11</f>
        <v>14079.14</v>
      </c>
      <c r="H11" s="97">
        <f>+'CD'!I11</f>
        <v>194727.6</v>
      </c>
      <c r="I11" s="97">
        <f>+'CD'!K11</f>
        <v>10983.21</v>
      </c>
      <c r="J11" s="97">
        <f>+'CD'!M11</f>
        <v>0</v>
      </c>
      <c r="K11" s="97">
        <f>+'CD'!O11</f>
        <v>261048.03</v>
      </c>
      <c r="L11" s="99">
        <f t="shared" si="2"/>
        <v>1439104.4100000001</v>
      </c>
    </row>
    <row r="12" spans="1:12" ht="16.5">
      <c r="A12" s="153" t="s">
        <v>22</v>
      </c>
      <c r="B12" s="97">
        <f>+'CM'!N12+'CM'!O12</f>
        <v>725929</v>
      </c>
      <c r="C12" s="97">
        <f t="shared" si="0"/>
        <v>385118.45</v>
      </c>
      <c r="D12" s="98">
        <f t="shared" si="1"/>
        <v>0.5305180671938992</v>
      </c>
      <c r="E12" s="97">
        <f>+'CM'!C12</f>
        <v>262562.9</v>
      </c>
      <c r="F12" s="97">
        <f>+'CM'!E12</f>
        <v>16</v>
      </c>
      <c r="G12" s="97">
        <f>+'CM'!G12</f>
        <v>52931.07</v>
      </c>
      <c r="H12" s="97">
        <f>+'CM'!I12</f>
        <v>0</v>
      </c>
      <c r="I12" s="97">
        <f>+'CM'!K12</f>
        <v>0</v>
      </c>
      <c r="J12" s="97">
        <v>0</v>
      </c>
      <c r="K12" s="97">
        <f>+'CM'!M12</f>
        <v>69608.48</v>
      </c>
      <c r="L12" s="99">
        <f t="shared" si="2"/>
        <v>340810.55</v>
      </c>
    </row>
    <row r="13" spans="1:12" ht="16.5">
      <c r="A13" s="153" t="s">
        <v>19</v>
      </c>
      <c r="B13" s="97">
        <f>+SSP!P13+SSP!Q13</f>
        <v>49592979</v>
      </c>
      <c r="C13" s="97">
        <f t="shared" si="0"/>
        <v>24260829.689999998</v>
      </c>
      <c r="D13" s="98">
        <f t="shared" si="1"/>
        <v>0.48919887813151935</v>
      </c>
      <c r="E13" s="97">
        <f>+SSP!C13</f>
        <v>13823851.87</v>
      </c>
      <c r="F13" s="97">
        <f>+SSP!E13</f>
        <v>2389777.81</v>
      </c>
      <c r="G13" s="97">
        <f>+SSP!G13</f>
        <v>4162867.2799999993</v>
      </c>
      <c r="H13" s="97">
        <f>+SSP!I13</f>
        <v>109088.58</v>
      </c>
      <c r="I13" s="97">
        <f>+SSP!K13</f>
        <v>533860.94</v>
      </c>
      <c r="J13" s="97">
        <f>+SSP!M13</f>
        <v>451478.65</v>
      </c>
      <c r="K13" s="97">
        <f>+SSP!O13</f>
        <v>2789904.5599999996</v>
      </c>
      <c r="L13" s="99">
        <f t="shared" si="2"/>
        <v>25332149.310000002</v>
      </c>
    </row>
    <row r="14" spans="1:12" ht="16.5">
      <c r="A14" s="153" t="s">
        <v>116</v>
      </c>
      <c r="B14" s="97">
        <f>+CULTURA!P10+CULTURA!Q10</f>
        <v>5844393</v>
      </c>
      <c r="C14" s="97">
        <f t="shared" si="0"/>
        <v>4207910.05</v>
      </c>
      <c r="D14" s="98">
        <f t="shared" si="1"/>
        <v>0.7199909468784867</v>
      </c>
      <c r="E14" s="97">
        <f>+CULTURA!C10</f>
        <v>1437585.7</v>
      </c>
      <c r="F14" s="97">
        <f>+CULTURA!E10</f>
        <v>32575.57</v>
      </c>
      <c r="G14" s="97">
        <f>+CULTURA!G10</f>
        <v>886562.61</v>
      </c>
      <c r="H14" s="97">
        <f>+CULTURA!I10</f>
        <v>1381827.55</v>
      </c>
      <c r="I14" s="97">
        <f>+CULTURA!K10</f>
        <v>0</v>
      </c>
      <c r="J14" s="97">
        <f>+CULTURA!M10</f>
        <v>2566.8199999999997</v>
      </c>
      <c r="K14" s="97">
        <f>+CULTURA!O10</f>
        <v>466791.8</v>
      </c>
      <c r="L14" s="99">
        <f t="shared" si="2"/>
        <v>1636482.9500000002</v>
      </c>
    </row>
    <row r="15" spans="1:12" ht="16.5">
      <c r="A15" s="153" t="s">
        <v>117</v>
      </c>
      <c r="B15" s="97">
        <f>+DEPORTES!P12+DEPORTES!Q12</f>
        <v>6880829</v>
      </c>
      <c r="C15" s="97">
        <f t="shared" si="0"/>
        <v>4263948.79</v>
      </c>
      <c r="D15" s="98">
        <f t="shared" si="1"/>
        <v>0.6196853300670603</v>
      </c>
      <c r="E15" s="97">
        <f>+DEPORTES!C12</f>
        <v>1386238.6199999999</v>
      </c>
      <c r="F15" s="97">
        <f>+DEPORTES!E12</f>
        <v>35576.91</v>
      </c>
      <c r="G15" s="97">
        <f>+DEPORTES!G12</f>
        <v>1096501.35</v>
      </c>
      <c r="H15" s="97">
        <f>+DEPORTES!I12</f>
        <v>1177637.76</v>
      </c>
      <c r="I15" s="97">
        <f>+DEPORTES!K12</f>
        <v>29.14</v>
      </c>
      <c r="J15" s="97">
        <f>+DEPORTES!M12</f>
        <v>19689.97</v>
      </c>
      <c r="K15" s="97">
        <f>+DEPORTES!O12</f>
        <v>548275.04</v>
      </c>
      <c r="L15" s="99">
        <f t="shared" si="2"/>
        <v>2616880.21</v>
      </c>
    </row>
    <row r="16" spans="1:12" ht="17.25">
      <c r="A16" s="16" t="s">
        <v>11</v>
      </c>
      <c r="B16" s="11">
        <f>SUM(B5:B15)</f>
        <v>205073414</v>
      </c>
      <c r="C16" s="11">
        <f>SUM(C5:C15)</f>
        <v>100082671.37</v>
      </c>
      <c r="D16" s="12">
        <f>+C16/B16</f>
        <v>0.488033379938757</v>
      </c>
      <c r="E16" s="11">
        <f aca="true" t="shared" si="3" ref="E16:L16">SUM(E5:E15)</f>
        <v>48297374.58</v>
      </c>
      <c r="F16" s="11">
        <f t="shared" si="3"/>
        <v>4065193.2399999998</v>
      </c>
      <c r="G16" s="11">
        <f t="shared" si="3"/>
        <v>18225389</v>
      </c>
      <c r="H16" s="11">
        <f t="shared" si="3"/>
        <v>9733770.370000001</v>
      </c>
      <c r="I16" s="11">
        <f t="shared" si="3"/>
        <v>1169124.6199999999</v>
      </c>
      <c r="J16" s="11">
        <f t="shared" si="3"/>
        <v>6020032.51</v>
      </c>
      <c r="K16" s="11">
        <f t="shared" si="3"/>
        <v>12571787.05</v>
      </c>
      <c r="L16" s="18">
        <f t="shared" si="3"/>
        <v>104990742.63</v>
      </c>
    </row>
    <row r="17" spans="1:12" ht="18" thickBot="1">
      <c r="A17" s="15" t="s">
        <v>51</v>
      </c>
      <c r="B17" s="6"/>
      <c r="C17" s="7"/>
      <c r="D17" s="8"/>
      <c r="E17" s="13">
        <f>+E16/99047253</f>
        <v>0.48761952620735477</v>
      </c>
      <c r="F17" s="14">
        <f>+F16/7992836</f>
        <v>0.5086046104286388</v>
      </c>
      <c r="G17" s="14">
        <f>+G16/33517677</f>
        <v>0.5437545388363281</v>
      </c>
      <c r="H17" s="14">
        <f>+H16/12207515</f>
        <v>0.7973588703351994</v>
      </c>
      <c r="I17" s="14">
        <f>+I16/7934843</f>
        <v>0.14734061152816758</v>
      </c>
      <c r="J17" s="14">
        <f>+J16/31781290</f>
        <v>0.18942064686486923</v>
      </c>
      <c r="K17" s="14">
        <f>+K16/12592000</f>
        <v>0.9983947784307498</v>
      </c>
      <c r="L17" s="9"/>
    </row>
    <row r="18" spans="2:12" ht="17.25" thickTop="1">
      <c r="B18" s="5"/>
      <c r="C18" s="50"/>
      <c r="D18" s="5"/>
      <c r="E18" s="76"/>
      <c r="F18" s="76"/>
      <c r="G18" s="76"/>
      <c r="H18" s="76"/>
      <c r="I18" s="76"/>
      <c r="J18" s="76"/>
      <c r="K18" s="76"/>
      <c r="L18" s="5"/>
    </row>
    <row r="19" spans="8:11" ht="16.5">
      <c r="H19" s="5"/>
      <c r="I19" s="5"/>
      <c r="J19" s="5"/>
      <c r="K19" s="123" t="s">
        <v>52</v>
      </c>
    </row>
    <row r="20" ht="16.5">
      <c r="K20" s="124" t="s">
        <v>53</v>
      </c>
    </row>
    <row r="21" ht="16.5">
      <c r="K21" s="123"/>
    </row>
    <row r="22" ht="16.5">
      <c r="K22" s="147" t="s">
        <v>54</v>
      </c>
    </row>
    <row r="23" ht="16.5">
      <c r="K23" s="123"/>
    </row>
    <row r="24" ht="16.5">
      <c r="K24" s="125" t="s">
        <v>55</v>
      </c>
    </row>
    <row r="25" ht="16.5">
      <c r="K25" s="123"/>
    </row>
    <row r="26" ht="16.5">
      <c r="K26" s="130" t="s">
        <v>56</v>
      </c>
    </row>
    <row r="27" ht="16.5">
      <c r="K27" s="123"/>
    </row>
    <row r="28" ht="16.5">
      <c r="K28" s="126" t="s">
        <v>57</v>
      </c>
    </row>
    <row r="29" ht="16.5">
      <c r="K29" s="123"/>
    </row>
    <row r="30" ht="16.5">
      <c r="K30" s="127" t="s">
        <v>58</v>
      </c>
    </row>
    <row r="31" ht="16.5">
      <c r="K31" s="123"/>
    </row>
    <row r="32" ht="16.5">
      <c r="K32" s="128" t="s">
        <v>59</v>
      </c>
    </row>
    <row r="33" ht="16.5">
      <c r="K33" s="123"/>
    </row>
    <row r="34" ht="16.5">
      <c r="K34" s="129" t="s">
        <v>60</v>
      </c>
    </row>
    <row r="60" spans="5:13" ht="16.5">
      <c r="E60" s="1" t="s">
        <v>60</v>
      </c>
      <c r="F60" s="1" t="s">
        <v>59</v>
      </c>
      <c r="G60" s="1" t="s">
        <v>58</v>
      </c>
      <c r="H60" s="1" t="s">
        <v>61</v>
      </c>
      <c r="I60" s="1" t="s">
        <v>62</v>
      </c>
      <c r="J60" s="1" t="s">
        <v>63</v>
      </c>
      <c r="K60" s="1" t="s">
        <v>54</v>
      </c>
      <c r="L60" s="1" t="s">
        <v>64</v>
      </c>
      <c r="M60" s="1" t="s">
        <v>65</v>
      </c>
    </row>
    <row r="61" spans="1:13" ht="16.5">
      <c r="A61" s="1" t="s">
        <v>66</v>
      </c>
      <c r="E61" s="10">
        <f>+E5/B5</f>
        <v>0.17501694205759732</v>
      </c>
      <c r="F61" s="10">
        <f aca="true" t="shared" si="4" ref="F61:L61">+F5/$B$5</f>
        <v>0.004491220070580459</v>
      </c>
      <c r="G61" s="10">
        <f t="shared" si="4"/>
        <v>0.04280448328138524</v>
      </c>
      <c r="H61" s="10">
        <f t="shared" si="4"/>
        <v>0.1517165752961931</v>
      </c>
      <c r="I61" s="10">
        <f t="shared" si="4"/>
        <v>0.016499384219037006</v>
      </c>
      <c r="J61" s="10">
        <f t="shared" si="4"/>
        <v>0.012415067481350807</v>
      </c>
      <c r="K61" s="10">
        <f t="shared" si="4"/>
        <v>0.059481590411918674</v>
      </c>
      <c r="L61" s="10">
        <f t="shared" si="4"/>
        <v>0.5375747371819374</v>
      </c>
      <c r="M61" s="10">
        <f>SUM(E61:L61)</f>
        <v>1</v>
      </c>
    </row>
    <row r="62" spans="1:13" ht="16.5">
      <c r="A62" s="1" t="s">
        <v>91</v>
      </c>
      <c r="E62" s="10">
        <f>+E6/B6</f>
        <v>0.31422437066364206</v>
      </c>
      <c r="F62" s="10">
        <f>+F6/B6</f>
        <v>0.005053490136902082</v>
      </c>
      <c r="G62" s="10">
        <f>+G6/B6</f>
        <v>0.15084795571852233</v>
      </c>
      <c r="H62" s="10">
        <f>+H6/B6</f>
        <v>0.0755185936750791</v>
      </c>
      <c r="I62" s="10">
        <f>+I6/B6</f>
        <v>0.016700272457034624</v>
      </c>
      <c r="J62" s="10">
        <f>+J6/B6</f>
        <v>0.0008535963071521332</v>
      </c>
      <c r="K62" s="10">
        <f>+K6/B6</f>
        <v>0.07295490076805712</v>
      </c>
      <c r="L62" s="10">
        <f>+L6/B6</f>
        <v>0.3638468202736106</v>
      </c>
      <c r="M62" s="10">
        <f>SUM(E62:L62)</f>
        <v>1</v>
      </c>
    </row>
    <row r="63" spans="1:13" ht="16.5">
      <c r="A63" s="1" t="s">
        <v>92</v>
      </c>
      <c r="E63" s="10">
        <f>+E7/B7</f>
        <v>0.2724701602402271</v>
      </c>
      <c r="F63" s="10">
        <f>+F7/B7</f>
        <v>0.06050652268301023</v>
      </c>
      <c r="G63" s="10">
        <f>+G7/B7</f>
        <v>0.1277373472265662</v>
      </c>
      <c r="H63" s="10">
        <f>+H7/B7</f>
        <v>0</v>
      </c>
      <c r="I63" s="10">
        <f>+I7/B7</f>
        <v>0.0004216943631583637</v>
      </c>
      <c r="J63" s="10">
        <f>+J7/B7</f>
        <v>0.0003498117044258737</v>
      </c>
      <c r="K63" s="10">
        <f>+K7/B7</f>
        <v>0.05192270408405943</v>
      </c>
      <c r="L63" s="10">
        <f>+L7/B7</f>
        <v>0.48659175969855284</v>
      </c>
      <c r="M63" s="10">
        <f>SUM(E63:L63)</f>
        <v>1</v>
      </c>
    </row>
    <row r="64" spans="1:13" ht="16.5">
      <c r="A64" s="1" t="s">
        <v>67</v>
      </c>
      <c r="E64" s="10">
        <f aca="true" t="shared" si="5" ref="E64:L64">+E8/$B$8</f>
        <v>0.270108974598158</v>
      </c>
      <c r="F64" s="10">
        <f t="shared" si="5"/>
        <v>0.0028382658883095483</v>
      </c>
      <c r="G64" s="10">
        <f t="shared" si="5"/>
        <v>0.07912761935019778</v>
      </c>
      <c r="H64" s="10">
        <f t="shared" si="5"/>
        <v>0.11298068081939636</v>
      </c>
      <c r="I64" s="10">
        <f t="shared" si="5"/>
        <v>0.0010429637937630397</v>
      </c>
      <c r="J64" s="10">
        <f t="shared" si="5"/>
        <v>0.0012384417078948053</v>
      </c>
      <c r="K64" s="10">
        <f t="shared" si="5"/>
        <v>0.05874287529377038</v>
      </c>
      <c r="L64" s="10">
        <f t="shared" si="5"/>
        <v>0.4739201785485101</v>
      </c>
      <c r="M64" s="10">
        <f aca="true" t="shared" si="6" ref="M64:M71">SUM(E64:L64)</f>
        <v>1</v>
      </c>
    </row>
    <row r="65" spans="1:13" ht="16.5">
      <c r="A65" s="1" t="s">
        <v>68</v>
      </c>
      <c r="E65" s="10">
        <f>+E9/$B$9</f>
        <v>0.07101997744306801</v>
      </c>
      <c r="F65" s="10">
        <f aca="true" t="shared" si="7" ref="F65:L65">+F9/$B$9</f>
        <v>0.005678583288199018</v>
      </c>
      <c r="G65" s="10">
        <f t="shared" si="7"/>
        <v>0.03462823756212592</v>
      </c>
      <c r="H65" s="10">
        <f t="shared" si="7"/>
        <v>0.019393100092574157</v>
      </c>
      <c r="I65" s="10">
        <f t="shared" si="7"/>
        <v>0.0017376934849102643</v>
      </c>
      <c r="J65" s="10">
        <f t="shared" si="7"/>
        <v>0.12475451417533606</v>
      </c>
      <c r="K65" s="10">
        <f t="shared" si="7"/>
        <v>0.036548989279507574</v>
      </c>
      <c r="L65" s="10">
        <f t="shared" si="7"/>
        <v>0.706238904674279</v>
      </c>
      <c r="M65" s="10">
        <f t="shared" si="6"/>
        <v>1</v>
      </c>
    </row>
    <row r="66" spans="1:13" ht="16.5">
      <c r="A66" s="1" t="s">
        <v>71</v>
      </c>
      <c r="E66" s="10">
        <f>+E10/$B$10</f>
        <v>0.3299104586008576</v>
      </c>
      <c r="F66" s="10">
        <f aca="true" t="shared" si="8" ref="F66:L66">+F10/$B$10</f>
        <v>0.01162649490836124</v>
      </c>
      <c r="G66" s="10">
        <f t="shared" si="8"/>
        <v>0.13505916614701297</v>
      </c>
      <c r="H66" s="10">
        <f t="shared" si="8"/>
        <v>0.0008136927938919201</v>
      </c>
      <c r="I66" s="10">
        <f t="shared" si="8"/>
        <v>0.0036507088356995056</v>
      </c>
      <c r="J66" s="10">
        <f t="shared" si="8"/>
        <v>3.2947519789772085E-05</v>
      </c>
      <c r="K66" s="10">
        <f t="shared" si="8"/>
        <v>0.09841855533031182</v>
      </c>
      <c r="L66" s="10">
        <f t="shared" si="8"/>
        <v>0.4204879758640751</v>
      </c>
      <c r="M66" s="10">
        <f t="shared" si="6"/>
        <v>1</v>
      </c>
    </row>
    <row r="67" spans="1:13" ht="16.5">
      <c r="A67" s="1" t="s">
        <v>69</v>
      </c>
      <c r="E67" s="10">
        <f>+E11/$B$11</f>
        <v>0.3370295070807554</v>
      </c>
      <c r="F67" s="10">
        <f aca="true" t="shared" si="9" ref="F67:L67">+F11/$B$11</f>
        <v>0.001543362500159333</v>
      </c>
      <c r="G67" s="10">
        <f t="shared" si="9"/>
        <v>0.004850314893546655</v>
      </c>
      <c r="H67" s="10">
        <f t="shared" si="9"/>
        <v>0.06708436583943306</v>
      </c>
      <c r="I67" s="10">
        <f t="shared" si="9"/>
        <v>0.0037837557579476124</v>
      </c>
      <c r="J67" s="10">
        <f t="shared" si="9"/>
        <v>0</v>
      </c>
      <c r="K67" s="10">
        <f t="shared" si="9"/>
        <v>0.08993199498264907</v>
      </c>
      <c r="L67" s="10">
        <f t="shared" si="9"/>
        <v>0.49577669894550885</v>
      </c>
      <c r="M67" s="10">
        <f t="shared" si="6"/>
        <v>1</v>
      </c>
    </row>
    <row r="68" spans="1:13" ht="16.5">
      <c r="A68" s="1" t="s">
        <v>95</v>
      </c>
      <c r="E68" s="10">
        <f>+E12/$B$12</f>
        <v>0.36169225916033115</v>
      </c>
      <c r="F68" s="10">
        <f aca="true" t="shared" si="10" ref="F68:L68">+F12/$B$12</f>
        <v>2.2040722990815907E-05</v>
      </c>
      <c r="G68" s="10">
        <f t="shared" si="10"/>
        <v>0.07291494071734288</v>
      </c>
      <c r="H68" s="10">
        <f t="shared" si="10"/>
        <v>0</v>
      </c>
      <c r="I68" s="10">
        <f t="shared" si="10"/>
        <v>0</v>
      </c>
      <c r="J68" s="10">
        <f t="shared" si="10"/>
        <v>0</v>
      </c>
      <c r="K68" s="10">
        <f t="shared" si="10"/>
        <v>0.09588882659323432</v>
      </c>
      <c r="L68" s="10">
        <f t="shared" si="10"/>
        <v>0.46948193280610084</v>
      </c>
      <c r="M68" s="10">
        <f t="shared" si="6"/>
        <v>1</v>
      </c>
    </row>
    <row r="69" spans="1:13" ht="16.5">
      <c r="A69" s="1" t="s">
        <v>72</v>
      </c>
      <c r="E69" s="10">
        <f>+E13/$B$13</f>
        <v>0.27874614811907145</v>
      </c>
      <c r="F69" s="10">
        <f aca="true" t="shared" si="11" ref="F69:L69">+F13/$B$13</f>
        <v>0.04818782533713089</v>
      </c>
      <c r="G69" s="10">
        <f t="shared" si="11"/>
        <v>0.0839406578096468</v>
      </c>
      <c r="H69" s="10">
        <f t="shared" si="11"/>
        <v>0.002199677901986892</v>
      </c>
      <c r="I69" s="10">
        <f t="shared" si="11"/>
        <v>0.010764849193673159</v>
      </c>
      <c r="J69" s="10">
        <f t="shared" si="11"/>
        <v>0.009103680785136944</v>
      </c>
      <c r="K69" s="10">
        <f t="shared" si="11"/>
        <v>0.05625603898487323</v>
      </c>
      <c r="L69" s="10">
        <f t="shared" si="11"/>
        <v>0.5108011218684807</v>
      </c>
      <c r="M69" s="10">
        <f t="shared" si="6"/>
        <v>1</v>
      </c>
    </row>
    <row r="70" spans="1:13" ht="16.5">
      <c r="A70" s="1" t="s">
        <v>73</v>
      </c>
      <c r="E70" s="10">
        <f>+E14/$B$14</f>
        <v>0.24597690470165165</v>
      </c>
      <c r="F70" s="10">
        <f aca="true" t="shared" si="12" ref="F70:L70">+F14/$B$14</f>
        <v>0.005573815792332925</v>
      </c>
      <c r="G70" s="10">
        <f t="shared" si="12"/>
        <v>0.15169455750152325</v>
      </c>
      <c r="H70" s="10">
        <f t="shared" si="12"/>
        <v>0.23643645285318768</v>
      </c>
      <c r="I70" s="10">
        <f t="shared" si="12"/>
        <v>0</v>
      </c>
      <c r="J70" s="10">
        <f t="shared" si="12"/>
        <v>0.00043919359974594447</v>
      </c>
      <c r="K70" s="10">
        <f t="shared" si="12"/>
        <v>0.07987002243004535</v>
      </c>
      <c r="L70" s="10">
        <f t="shared" si="12"/>
        <v>0.28000905312151325</v>
      </c>
      <c r="M70" s="10">
        <f t="shared" si="6"/>
        <v>1</v>
      </c>
    </row>
    <row r="71" spans="1:13" ht="16.5">
      <c r="A71" s="1" t="s">
        <v>70</v>
      </c>
      <c r="E71" s="10">
        <f>+E15/$B$15</f>
        <v>0.20146389628342745</v>
      </c>
      <c r="F71" s="10">
        <f aca="true" t="shared" si="13" ref="F71:L71">+F15/$B$15</f>
        <v>0.005170439492101897</v>
      </c>
      <c r="G71" s="10">
        <f t="shared" si="13"/>
        <v>0.15935599475005122</v>
      </c>
      <c r="H71" s="10">
        <f t="shared" si="13"/>
        <v>0.17114765677217092</v>
      </c>
      <c r="I71" s="10">
        <f t="shared" si="13"/>
        <v>4.2349548288440244E-06</v>
      </c>
      <c r="J71" s="10">
        <f t="shared" si="13"/>
        <v>0.002861569441705353</v>
      </c>
      <c r="K71" s="10">
        <f t="shared" si="13"/>
        <v>0.07968153837277457</v>
      </c>
      <c r="L71" s="10">
        <f t="shared" si="13"/>
        <v>0.3803146699329398</v>
      </c>
      <c r="M71" s="10">
        <f t="shared" si="6"/>
        <v>1</v>
      </c>
    </row>
  </sheetData>
  <sheetProtection/>
  <mergeCells count="1">
    <mergeCell ref="E3:K3"/>
  </mergeCells>
  <printOptions horizontalCentered="1"/>
  <pageMargins left="0.7480314960629921" right="0.2362204724409449" top="0.7480314960629921" bottom="0.2362204724409449" header="0.3937007874015748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1" width="14.421875" style="0" customWidth="1"/>
    <col min="2" max="12" width="12.7109375" style="0" customWidth="1"/>
    <col min="13" max="13" width="13.421875" style="0" customWidth="1"/>
  </cols>
  <sheetData>
    <row r="1" spans="1:13" ht="15">
      <c r="A1" s="207" t="s">
        <v>127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5">
      <c r="A3" s="166" t="s">
        <v>28</v>
      </c>
      <c r="B3" s="167" t="s">
        <v>128</v>
      </c>
      <c r="C3" s="167" t="s">
        <v>129</v>
      </c>
      <c r="D3" s="167" t="s">
        <v>130</v>
      </c>
      <c r="E3" s="167" t="s">
        <v>131</v>
      </c>
      <c r="F3" s="167" t="s">
        <v>132</v>
      </c>
      <c r="G3" s="167" t="s">
        <v>133</v>
      </c>
      <c r="H3" s="167" t="s">
        <v>134</v>
      </c>
      <c r="I3" s="167" t="s">
        <v>135</v>
      </c>
      <c r="J3" s="167" t="s">
        <v>136</v>
      </c>
      <c r="K3" s="167" t="s">
        <v>137</v>
      </c>
      <c r="L3" s="167" t="s">
        <v>138</v>
      </c>
      <c r="M3" s="168" t="s">
        <v>11</v>
      </c>
    </row>
    <row r="4" spans="1:13" ht="15">
      <c r="A4" s="166" t="s">
        <v>1</v>
      </c>
      <c r="B4" s="172">
        <f>+INT!B12</f>
        <v>3477277.54</v>
      </c>
      <c r="C4" s="172">
        <f>+GOB!B18</f>
        <v>9435442</v>
      </c>
      <c r="D4" s="171">
        <f>+SEH!B14</f>
        <v>7697611.47</v>
      </c>
      <c r="E4" s="172">
        <f>+SAS!B13</f>
        <v>14846358</v>
      </c>
      <c r="F4" s="171">
        <f>+SOP!B12</f>
        <v>9024946.469999999</v>
      </c>
      <c r="G4" s="171">
        <f>+SFOI!B13</f>
        <v>17362918.47</v>
      </c>
      <c r="H4" s="171">
        <f>+'CD'!B11</f>
        <v>1646901.47</v>
      </c>
      <c r="I4" s="172">
        <f>+'CM'!B12</f>
        <v>581329</v>
      </c>
      <c r="J4" s="171">
        <f>+SSP!B13</f>
        <v>28454898.47</v>
      </c>
      <c r="K4" s="172">
        <f>+CULTURA!B10</f>
        <v>2802541</v>
      </c>
      <c r="L4" s="172">
        <f>+DEPORTES!B12</f>
        <v>2829569</v>
      </c>
      <c r="M4" s="173">
        <f aca="true" t="shared" si="0" ref="M4:M10">SUM(B4:L4)</f>
        <v>98159792.88999999</v>
      </c>
    </row>
    <row r="5" spans="1:13" ht="15">
      <c r="A5" s="166" t="s">
        <v>2</v>
      </c>
      <c r="B5" s="172">
        <f>+INT!D12</f>
        <v>118707</v>
      </c>
      <c r="C5" s="172">
        <f>+GOB!D18</f>
        <v>156700</v>
      </c>
      <c r="D5" s="172">
        <f>+SEH!D14</f>
        <v>1034050</v>
      </c>
      <c r="E5" s="172">
        <f>+SAS!D13</f>
        <v>225700</v>
      </c>
      <c r="F5" s="172">
        <f>+SOP!D12</f>
        <v>380100</v>
      </c>
      <c r="G5" s="172">
        <f>+SFOI!D13</f>
        <v>657850</v>
      </c>
      <c r="H5" s="172">
        <f>+'CD'!D11</f>
        <v>74000</v>
      </c>
      <c r="I5" s="172">
        <f>+'CM'!D12</f>
        <v>2500</v>
      </c>
      <c r="J5" s="172">
        <f>+SSP!D13</f>
        <v>5225054</v>
      </c>
      <c r="K5" s="172">
        <f>+CULTURA!D10</f>
        <v>48200</v>
      </c>
      <c r="L5" s="172">
        <f>+DEPORTES!D12</f>
        <v>69975</v>
      </c>
      <c r="M5" s="173">
        <f t="shared" si="0"/>
        <v>7992836</v>
      </c>
    </row>
    <row r="6" spans="1:13" ht="15">
      <c r="A6" s="166" t="s">
        <v>3</v>
      </c>
      <c r="B6" s="172">
        <f>+INT!F12</f>
        <v>1326911</v>
      </c>
      <c r="C6" s="172">
        <f>+GOB!F18</f>
        <v>3278255</v>
      </c>
      <c r="D6" s="172">
        <f>+SEH!F14</f>
        <v>2075016</v>
      </c>
      <c r="E6" s="172">
        <f>+SAS!F13</f>
        <v>5329871</v>
      </c>
      <c r="F6" s="171">
        <f>+SOP!F12</f>
        <v>2709313.23</v>
      </c>
      <c r="G6" s="171">
        <f>+SFOI!F13</f>
        <v>7428475.25</v>
      </c>
      <c r="H6" s="172">
        <f>+'CD'!F11</f>
        <v>408500</v>
      </c>
      <c r="I6" s="172">
        <f>+'CM'!F12</f>
        <v>92100</v>
      </c>
      <c r="J6" s="171">
        <f>+SSP!F13</f>
        <v>6887222.11</v>
      </c>
      <c r="K6" s="172">
        <f>+CULTURA!F10</f>
        <v>1765670</v>
      </c>
      <c r="L6" s="172">
        <f>+DEPORTES!F12</f>
        <v>2172306</v>
      </c>
      <c r="M6" s="173">
        <f t="shared" si="0"/>
        <v>33473639.59</v>
      </c>
    </row>
    <row r="7" spans="1:13" ht="15">
      <c r="A7" s="166" t="s">
        <v>139</v>
      </c>
      <c r="B7" s="172">
        <f>+INT!H12</f>
        <v>840161</v>
      </c>
      <c r="C7" s="172">
        <f>+GOB!H18</f>
        <v>857160</v>
      </c>
      <c r="D7" s="172">
        <f>+SEH!H14</f>
        <v>0</v>
      </c>
      <c r="E7" s="172">
        <f>+SAS!H13</f>
        <v>7775404</v>
      </c>
      <c r="F7" s="172">
        <f>+SOP!H12</f>
        <v>260921</v>
      </c>
      <c r="G7" s="172">
        <f>+SFOI!H13</f>
        <v>6000</v>
      </c>
      <c r="H7" s="172">
        <f>+'CD'!H11</f>
        <v>334416</v>
      </c>
      <c r="I7" s="172">
        <v>0</v>
      </c>
      <c r="J7" s="172">
        <f>+SSP!H13</f>
        <v>192492</v>
      </c>
      <c r="K7" s="172">
        <f>+CULTURA!H10</f>
        <v>697982</v>
      </c>
      <c r="L7" s="172">
        <f>+DEPORTES!H12</f>
        <v>1242979</v>
      </c>
      <c r="M7" s="173">
        <f t="shared" si="0"/>
        <v>12207515</v>
      </c>
    </row>
    <row r="8" spans="1:13" ht="15">
      <c r="A8" s="166" t="s">
        <v>140</v>
      </c>
      <c r="B8" s="172">
        <f>+INT!J12</f>
        <v>2934278</v>
      </c>
      <c r="C8" s="172">
        <f>+GOB!J18</f>
        <v>164550</v>
      </c>
      <c r="D8" s="172">
        <f>+SEH!J14</f>
        <v>148500</v>
      </c>
      <c r="E8" s="172">
        <f>+SAS!J13</f>
        <v>151100</v>
      </c>
      <c r="F8" s="172">
        <f>+SOP!J12</f>
        <v>424000</v>
      </c>
      <c r="G8" s="172">
        <f>+SFOI!J13</f>
        <v>933350</v>
      </c>
      <c r="H8" s="172">
        <f>+'CD'!J11</f>
        <v>170000</v>
      </c>
      <c r="I8" s="172">
        <v>0</v>
      </c>
      <c r="J8" s="172">
        <f>+SSP!J13</f>
        <v>2949065</v>
      </c>
      <c r="K8" s="172">
        <f>+CULTURA!J10</f>
        <v>5000</v>
      </c>
      <c r="L8" s="172">
        <f>+DEPORTES!J12</f>
        <v>55000</v>
      </c>
      <c r="M8" s="173">
        <f t="shared" si="0"/>
        <v>7934843</v>
      </c>
    </row>
    <row r="9" spans="1:13" ht="15">
      <c r="A9" s="166" t="s">
        <v>99</v>
      </c>
      <c r="B9" s="172">
        <f>+INT!L12</f>
        <v>258320</v>
      </c>
      <c r="C9" s="172">
        <f>+GOB!L18</f>
        <v>38900</v>
      </c>
      <c r="D9" s="172">
        <f>+SEH!L14</f>
        <v>22500</v>
      </c>
      <c r="E9" s="172">
        <f>+SAS!L13</f>
        <v>250000</v>
      </c>
      <c r="F9" s="171">
        <f>+SOP!L12</f>
        <v>27794431.96</v>
      </c>
      <c r="G9" s="172">
        <f>+SFOI!L13</f>
        <v>0</v>
      </c>
      <c r="H9" s="172">
        <v>0</v>
      </c>
      <c r="I9" s="172">
        <v>0</v>
      </c>
      <c r="J9" s="172">
        <f>+SSP!L13</f>
        <v>3259400</v>
      </c>
      <c r="K9" s="172">
        <f>+CULTURA!L10</f>
        <v>100000</v>
      </c>
      <c r="L9" s="172">
        <v>0</v>
      </c>
      <c r="M9" s="173">
        <f t="shared" si="0"/>
        <v>31723551.96</v>
      </c>
    </row>
    <row r="10" spans="1:13" ht="15">
      <c r="A10" s="166" t="s">
        <v>141</v>
      </c>
      <c r="B10" s="172">
        <f>+INT!N12</f>
        <v>943969.46</v>
      </c>
      <c r="C10" s="172">
        <f>+GOB!N18</f>
        <v>945100</v>
      </c>
      <c r="D10" s="171">
        <f>+SEH!N14</f>
        <v>2792959.53</v>
      </c>
      <c r="E10" s="172">
        <f>+SAS!N13</f>
        <v>1411400</v>
      </c>
      <c r="F10" s="171">
        <f>+SOP!N12</f>
        <v>2433415.34</v>
      </c>
      <c r="G10" s="171">
        <f>+SFOI!N13</f>
        <v>1174634.28</v>
      </c>
      <c r="H10" s="171">
        <f>+'CD'!N11</f>
        <v>268909.53</v>
      </c>
      <c r="I10" s="172">
        <f>+'CM'!L12</f>
        <v>50000</v>
      </c>
      <c r="J10" s="171">
        <f>+SSP!N13</f>
        <v>2624847.42</v>
      </c>
      <c r="K10" s="172">
        <f>+CULTURA!N10</f>
        <v>425000</v>
      </c>
      <c r="L10" s="172">
        <f>+DEPORTES!N12</f>
        <v>511000</v>
      </c>
      <c r="M10" s="173">
        <f t="shared" si="0"/>
        <v>13581235.559999999</v>
      </c>
    </row>
    <row r="11" spans="1:13" ht="15">
      <c r="A11" s="169" t="s">
        <v>11</v>
      </c>
      <c r="B11" s="173">
        <f aca="true" t="shared" si="1" ref="B11:M11">SUM(B4:B10)</f>
        <v>9899624</v>
      </c>
      <c r="C11" s="173">
        <f t="shared" si="1"/>
        <v>14876107</v>
      </c>
      <c r="D11" s="173">
        <f t="shared" si="1"/>
        <v>13770636.999999998</v>
      </c>
      <c r="E11" s="173">
        <f t="shared" si="1"/>
        <v>29989833</v>
      </c>
      <c r="F11" s="173">
        <f t="shared" si="1"/>
        <v>43027128</v>
      </c>
      <c r="G11" s="173">
        <f t="shared" si="1"/>
        <v>27563228</v>
      </c>
      <c r="H11" s="173">
        <f t="shared" si="1"/>
        <v>2902727</v>
      </c>
      <c r="I11" s="173">
        <f t="shared" si="1"/>
        <v>725929</v>
      </c>
      <c r="J11" s="173">
        <f t="shared" si="1"/>
        <v>49592979</v>
      </c>
      <c r="K11" s="173">
        <f t="shared" si="1"/>
        <v>5844393</v>
      </c>
      <c r="L11" s="173">
        <f t="shared" si="1"/>
        <v>6880829</v>
      </c>
      <c r="M11" s="173">
        <f t="shared" si="1"/>
        <v>205073414</v>
      </c>
    </row>
    <row r="12" spans="1:13" ht="16.5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7"/>
  <sheetViews>
    <sheetView zoomScalePageLayoutView="0" workbookViewId="0" topLeftCell="A1">
      <selection activeCell="P21" sqref="P21"/>
    </sheetView>
  </sheetViews>
  <sheetFormatPr defaultColWidth="11.421875" defaultRowHeight="15"/>
  <cols>
    <col min="1" max="1" width="20.57421875" style="1" customWidth="1"/>
    <col min="2" max="2" width="9.57421875" style="1" customWidth="1"/>
    <col min="3" max="3" width="12.57421875" style="1" customWidth="1"/>
    <col min="4" max="4" width="7.7109375" style="1" customWidth="1"/>
    <col min="5" max="5" width="9.421875" style="1" customWidth="1"/>
    <col min="6" max="6" width="9.28125" style="1" customWidth="1"/>
    <col min="7" max="7" width="12.28125" style="1" customWidth="1"/>
    <col min="8" max="8" width="7.7109375" style="1" customWidth="1"/>
    <col min="9" max="9" width="12.421875" style="1" customWidth="1"/>
    <col min="10" max="10" width="8.421875" style="1" customWidth="1"/>
    <col min="11" max="11" width="10.8515625" style="1" customWidth="1"/>
    <col min="12" max="12" width="7.57421875" style="1" customWidth="1"/>
    <col min="13" max="13" width="10.57421875" style="1" customWidth="1"/>
    <col min="14" max="14" width="7.8515625" style="1" customWidth="1"/>
    <col min="15" max="15" width="12.140625" style="1" customWidth="1"/>
    <col min="16" max="16" width="12.57421875" style="1" customWidth="1"/>
    <col min="17" max="17" width="12.421875" style="1" customWidth="1"/>
    <col min="18" max="19" width="13.8515625" style="1" bestFit="1" customWidth="1"/>
    <col min="20" max="16384" width="11.421875" style="1" customWidth="1"/>
  </cols>
  <sheetData>
    <row r="2" spans="1:15" ht="18">
      <c r="A2" s="141" t="s">
        <v>0</v>
      </c>
      <c r="B2" s="182" t="s">
        <v>101</v>
      </c>
      <c r="C2" s="182"/>
      <c r="D2" s="187"/>
      <c r="E2" s="187"/>
      <c r="I2" s="20" t="s">
        <v>23</v>
      </c>
      <c r="J2" s="20"/>
      <c r="K2" s="146">
        <v>41426</v>
      </c>
      <c r="L2" s="117"/>
      <c r="M2" s="117"/>
      <c r="O2" s="19"/>
    </row>
    <row r="3" spans="2:4" ht="6.75" customHeight="1">
      <c r="B3" s="188"/>
      <c r="C3" s="188"/>
      <c r="D3" s="65"/>
    </row>
    <row r="4" ht="17.25" thickBot="1"/>
    <row r="5" spans="1:17" ht="17.25">
      <c r="A5" s="24"/>
      <c r="B5" s="189" t="s">
        <v>1</v>
      </c>
      <c r="C5" s="190"/>
      <c r="D5" s="189" t="s">
        <v>2</v>
      </c>
      <c r="E5" s="190"/>
      <c r="F5" s="189" t="s">
        <v>3</v>
      </c>
      <c r="G5" s="190"/>
      <c r="H5" s="189" t="s">
        <v>4</v>
      </c>
      <c r="I5" s="190"/>
      <c r="J5" s="189" t="s">
        <v>32</v>
      </c>
      <c r="K5" s="190"/>
      <c r="L5" s="189" t="s">
        <v>36</v>
      </c>
      <c r="M5" s="190"/>
      <c r="N5" s="189" t="s">
        <v>33</v>
      </c>
      <c r="O5" s="190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1" t="s">
        <v>25</v>
      </c>
      <c r="Q6" s="29" t="s">
        <v>39</v>
      </c>
    </row>
    <row r="7" spans="1:19" ht="17.25">
      <c r="A7" s="30" t="s">
        <v>14</v>
      </c>
      <c r="B7" s="66">
        <v>1587422</v>
      </c>
      <c r="C7" s="32">
        <f>48656.85+598891.03+5116.18+40779.25</f>
        <v>693443.31</v>
      </c>
      <c r="D7" s="66">
        <v>31000</v>
      </c>
      <c r="E7" s="32">
        <f>3806.27+26077.11</f>
        <v>29883.38</v>
      </c>
      <c r="F7" s="66">
        <f>899025-30000</f>
        <v>869025</v>
      </c>
      <c r="G7" s="32">
        <f>64414.7+708493.88+1338.12</f>
        <v>774246.7</v>
      </c>
      <c r="H7" s="96">
        <f>534660-48000</f>
        <v>486660</v>
      </c>
      <c r="I7" s="78">
        <f>34889.13+414990.08</f>
        <v>449879.21</v>
      </c>
      <c r="J7" s="96">
        <v>13500</v>
      </c>
      <c r="K7" s="78">
        <v>16845.58</v>
      </c>
      <c r="L7" s="96">
        <v>0</v>
      </c>
      <c r="M7" s="78">
        <v>7411.19</v>
      </c>
      <c r="N7" s="66">
        <f>700000+245100</f>
        <v>945100</v>
      </c>
      <c r="O7" s="32">
        <f>57.21+640276.02</f>
        <v>640333.23</v>
      </c>
      <c r="P7" s="33">
        <f>+O7+K7+I7+G7+E7+C7+M7</f>
        <v>2612042.6</v>
      </c>
      <c r="Q7" s="33">
        <f>+B7+D7+F7+H7+J7+N7-P7+L7</f>
        <v>1320664.4</v>
      </c>
      <c r="R7" s="5"/>
      <c r="S7" s="5"/>
    </row>
    <row r="8" spans="1:19" ht="17.25">
      <c r="A8" s="30" t="s">
        <v>144</v>
      </c>
      <c r="B8" s="66">
        <v>213552</v>
      </c>
      <c r="C8" s="32">
        <f>12433.52+131499.6</f>
        <v>143933.12</v>
      </c>
      <c r="D8" s="66">
        <v>3000</v>
      </c>
      <c r="E8" s="32">
        <v>0</v>
      </c>
      <c r="F8" s="66">
        <v>33000</v>
      </c>
      <c r="G8" s="32">
        <f>11833.34+139.34</f>
        <v>11972.68</v>
      </c>
      <c r="H8" s="96">
        <v>10500</v>
      </c>
      <c r="I8" s="78">
        <v>0</v>
      </c>
      <c r="J8" s="96">
        <v>0</v>
      </c>
      <c r="K8" s="78">
        <v>0</v>
      </c>
      <c r="L8" s="96">
        <v>0</v>
      </c>
      <c r="M8" s="78">
        <v>0</v>
      </c>
      <c r="N8" s="66">
        <v>0</v>
      </c>
      <c r="O8" s="36">
        <v>0</v>
      </c>
      <c r="P8" s="33">
        <f>+O8+K8+I8+G8+E8+C8+M8</f>
        <v>155905.8</v>
      </c>
      <c r="Q8" s="33">
        <f>+B8+D8+F8+H8+J8+N8-P8</f>
        <v>104146.20000000001</v>
      </c>
      <c r="S8" s="5"/>
    </row>
    <row r="9" spans="1:19" ht="17.25">
      <c r="A9" s="30" t="s">
        <v>124</v>
      </c>
      <c r="B9" s="66">
        <v>364780</v>
      </c>
      <c r="C9" s="32">
        <f>20432.99+211000.27</f>
        <v>231433.25999999998</v>
      </c>
      <c r="D9" s="66">
        <v>16000</v>
      </c>
      <c r="E9" s="32">
        <v>0</v>
      </c>
      <c r="F9" s="66">
        <v>15000</v>
      </c>
      <c r="G9" s="32">
        <v>122.67</v>
      </c>
      <c r="H9" s="96">
        <v>0</v>
      </c>
      <c r="I9" s="78">
        <v>0</v>
      </c>
      <c r="J9" s="96">
        <v>8000</v>
      </c>
      <c r="K9" s="78">
        <v>0</v>
      </c>
      <c r="L9" s="96">
        <v>0</v>
      </c>
      <c r="M9" s="78">
        <v>0</v>
      </c>
      <c r="N9" s="66">
        <v>0</v>
      </c>
      <c r="O9" s="36">
        <v>0</v>
      </c>
      <c r="P9" s="33">
        <f>+O9+K9+I9+G9+E9+C9+M9</f>
        <v>231555.93</v>
      </c>
      <c r="Q9" s="33">
        <f>+B9+D9+F9+H9+J9+N9-P9</f>
        <v>172224.07</v>
      </c>
      <c r="S9" s="5"/>
    </row>
    <row r="10" spans="1:17" ht="17.25">
      <c r="A10" s="30" t="s">
        <v>123</v>
      </c>
      <c r="B10" s="66">
        <v>0</v>
      </c>
      <c r="C10" s="32">
        <v>0</v>
      </c>
      <c r="D10" s="66">
        <v>5000</v>
      </c>
      <c r="E10" s="32">
        <v>1250</v>
      </c>
      <c r="F10" s="66">
        <v>432400</v>
      </c>
      <c r="G10" s="32">
        <v>11300</v>
      </c>
      <c r="H10" s="96">
        <v>0</v>
      </c>
      <c r="I10" s="78">
        <v>0</v>
      </c>
      <c r="J10" s="96">
        <v>3000</v>
      </c>
      <c r="K10" s="78">
        <v>0</v>
      </c>
      <c r="L10" s="96">
        <v>0</v>
      </c>
      <c r="M10" s="78">
        <v>0</v>
      </c>
      <c r="N10" s="66">
        <v>0</v>
      </c>
      <c r="O10" s="36">
        <v>0</v>
      </c>
      <c r="P10" s="33">
        <f>+O10+K10+I10+G10+E10+C10+M10</f>
        <v>12550</v>
      </c>
      <c r="Q10" s="33">
        <f>+B10+D10+F10+H10+J10+N10-P10</f>
        <v>427850</v>
      </c>
    </row>
    <row r="11" spans="1:17" ht="17.25">
      <c r="A11" s="30" t="s">
        <v>82</v>
      </c>
      <c r="B11" s="66">
        <v>439349</v>
      </c>
      <c r="C11" s="32">
        <f>15722.95+159372.1</f>
        <v>175095.05000000002</v>
      </c>
      <c r="D11" s="66">
        <v>0</v>
      </c>
      <c r="E11" s="32">
        <v>0</v>
      </c>
      <c r="F11" s="66">
        <v>20000</v>
      </c>
      <c r="G11" s="32">
        <f>7272.8+26195.88</f>
        <v>33468.68</v>
      </c>
      <c r="H11" s="96">
        <v>0</v>
      </c>
      <c r="I11" s="78">
        <v>0</v>
      </c>
      <c r="J11" s="96">
        <v>0</v>
      </c>
      <c r="K11" s="78">
        <v>5199</v>
      </c>
      <c r="L11" s="96">
        <v>0</v>
      </c>
      <c r="M11" s="78">
        <v>0</v>
      </c>
      <c r="N11" s="66">
        <v>0</v>
      </c>
      <c r="O11" s="36">
        <v>16805.43</v>
      </c>
      <c r="P11" s="33">
        <f>+O11+K11+I11+G11+E11+C11</f>
        <v>230568.16000000003</v>
      </c>
      <c r="Q11" s="33">
        <f>+B11+D11+F11+H11+J11+N11-P11</f>
        <v>228780.83999999997</v>
      </c>
    </row>
    <row r="12" spans="1:17" ht="17.25">
      <c r="A12" s="30" t="s">
        <v>83</v>
      </c>
      <c r="B12" s="66">
        <v>634617</v>
      </c>
      <c r="C12" s="32">
        <f>30135.16+293791.24</f>
        <v>323926.39999999997</v>
      </c>
      <c r="D12" s="66">
        <v>0</v>
      </c>
      <c r="E12" s="32">
        <v>2214.3</v>
      </c>
      <c r="F12" s="66">
        <f>257000-18000</f>
        <v>239000</v>
      </c>
      <c r="G12" s="32">
        <f>8920.72+189855.03</f>
        <v>198775.75</v>
      </c>
      <c r="H12" s="96">
        <v>0</v>
      </c>
      <c r="I12" s="78">
        <v>0</v>
      </c>
      <c r="J12" s="96">
        <v>30000</v>
      </c>
      <c r="K12" s="78">
        <v>403</v>
      </c>
      <c r="L12" s="96">
        <v>0</v>
      </c>
      <c r="M12" s="78">
        <v>0</v>
      </c>
      <c r="N12" s="66">
        <v>0</v>
      </c>
      <c r="O12" s="36">
        <v>50158.08</v>
      </c>
      <c r="P12" s="33">
        <f>+O12+K12+I12+G12+E12+C12+M12</f>
        <v>575477.53</v>
      </c>
      <c r="Q12" s="33">
        <f aca="true" t="shared" si="0" ref="Q12:Q17">+B12+D12+F12+H12+J12+N12-P12</f>
        <v>328139.47</v>
      </c>
    </row>
    <row r="13" spans="1:17" ht="17.25">
      <c r="A13" s="30" t="s">
        <v>74</v>
      </c>
      <c r="B13" s="66">
        <v>1273193</v>
      </c>
      <c r="C13" s="32">
        <f>25248.15+314406.39+24687.06+158383.34+5400.41+48910.69+1263.01+15215.78</f>
        <v>593514.8300000001</v>
      </c>
      <c r="D13" s="66">
        <f>12000-1000</f>
        <v>11000</v>
      </c>
      <c r="E13" s="32">
        <v>926.75</v>
      </c>
      <c r="F13" s="66">
        <v>56933</v>
      </c>
      <c r="G13" s="32">
        <f>28.54+26976+8-29.04+152.17</f>
        <v>27135.67</v>
      </c>
      <c r="H13" s="96">
        <v>0</v>
      </c>
      <c r="I13" s="78">
        <v>0</v>
      </c>
      <c r="J13" s="96">
        <v>6200</v>
      </c>
      <c r="K13" s="78">
        <v>0</v>
      </c>
      <c r="L13" s="96">
        <v>0</v>
      </c>
      <c r="M13" s="78">
        <v>0</v>
      </c>
      <c r="N13" s="66">
        <v>0</v>
      </c>
      <c r="O13" s="36">
        <v>60337.83</v>
      </c>
      <c r="P13" s="33">
        <f>+O13+K13+I13+G13+E13+C13+M13</f>
        <v>681915.0800000001</v>
      </c>
      <c r="Q13" s="33">
        <f t="shared" si="0"/>
        <v>665410.9199999999</v>
      </c>
    </row>
    <row r="14" spans="1:17" ht="17.25">
      <c r="A14" s="30" t="s">
        <v>102</v>
      </c>
      <c r="B14" s="66">
        <v>1473070</v>
      </c>
      <c r="C14" s="32">
        <f>54666.7+614924.15</f>
        <v>669590.85</v>
      </c>
      <c r="D14" s="66">
        <v>28000</v>
      </c>
      <c r="E14" s="32">
        <f>3780+17606.6</f>
        <v>21386.6</v>
      </c>
      <c r="F14" s="66">
        <v>129300</v>
      </c>
      <c r="G14" s="32">
        <f>570+37453.04</f>
        <v>38023.04</v>
      </c>
      <c r="H14" s="96">
        <v>0</v>
      </c>
      <c r="I14" s="78">
        <v>0</v>
      </c>
      <c r="J14" s="96">
        <v>20100</v>
      </c>
      <c r="K14" s="78">
        <v>4195</v>
      </c>
      <c r="L14" s="96">
        <v>0</v>
      </c>
      <c r="M14" s="78">
        <v>0</v>
      </c>
      <c r="N14" s="66">
        <v>0</v>
      </c>
      <c r="O14" s="36">
        <v>88936.94</v>
      </c>
      <c r="P14" s="33">
        <f>+O14+K14+I14+G14+E14+C14+M14</f>
        <v>822132.4299999999</v>
      </c>
      <c r="Q14" s="33">
        <f t="shared" si="0"/>
        <v>828337.5700000001</v>
      </c>
    </row>
    <row r="15" spans="1:17" ht="17.25">
      <c r="A15" s="30" t="s">
        <v>125</v>
      </c>
      <c r="B15" s="66">
        <v>756638</v>
      </c>
      <c r="C15" s="32">
        <f>33984.94+381835.57</f>
        <v>415820.51</v>
      </c>
      <c r="D15" s="66">
        <v>7200</v>
      </c>
      <c r="E15" s="32">
        <v>2889.05</v>
      </c>
      <c r="F15" s="66">
        <f>236217-30000</f>
        <v>206217</v>
      </c>
      <c r="G15" s="32">
        <f>-3670.77+186335.08</f>
        <v>182664.31</v>
      </c>
      <c r="H15" s="96">
        <v>0</v>
      </c>
      <c r="I15" s="78">
        <v>2560.32</v>
      </c>
      <c r="J15" s="96">
        <v>5750</v>
      </c>
      <c r="K15" s="78">
        <v>209292.27</v>
      </c>
      <c r="L15" s="96">
        <v>0</v>
      </c>
      <c r="M15" s="78">
        <v>5287</v>
      </c>
      <c r="N15" s="66">
        <v>0</v>
      </c>
      <c r="O15" s="36">
        <v>40390.33</v>
      </c>
      <c r="P15" s="33">
        <f>+O15+K15+I15+G15+E15+C15+M15</f>
        <v>858903.79</v>
      </c>
      <c r="Q15" s="33">
        <f t="shared" si="0"/>
        <v>116901.20999999996</v>
      </c>
    </row>
    <row r="16" spans="1:17" ht="17.25">
      <c r="A16" s="30" t="s">
        <v>145</v>
      </c>
      <c r="B16" s="66">
        <f>1872398-65000</f>
        <v>1807398</v>
      </c>
      <c r="C16" s="32">
        <f>95437.04+936332.69</f>
        <v>1031769.73</v>
      </c>
      <c r="D16" s="66">
        <v>55500</v>
      </c>
      <c r="E16" s="32">
        <f>2303.08+7015.94</f>
        <v>9319.02</v>
      </c>
      <c r="F16" s="66">
        <f>156380-2000</f>
        <v>154380</v>
      </c>
      <c r="G16" s="32">
        <v>20597.04</v>
      </c>
      <c r="H16" s="96">
        <v>230000</v>
      </c>
      <c r="I16" s="78">
        <f>11042.8+19662.36</f>
        <v>30705.16</v>
      </c>
      <c r="J16" s="96">
        <v>74500</v>
      </c>
      <c r="K16" s="78">
        <v>3260.2</v>
      </c>
      <c r="L16" s="96">
        <f>45000-6100</f>
        <v>38900</v>
      </c>
      <c r="M16" s="78">
        <v>0</v>
      </c>
      <c r="N16" s="66">
        <v>0</v>
      </c>
      <c r="O16" s="36">
        <v>84144.65</v>
      </c>
      <c r="P16" s="33">
        <f>+O16+K16+I16+G16+E16+C16</f>
        <v>1179795.8</v>
      </c>
      <c r="Q16" s="33">
        <f>+B16+D16+F16+H16+J16+N16-P16+L16</f>
        <v>1180882.2</v>
      </c>
    </row>
    <row r="17" spans="1:17" ht="17.25">
      <c r="A17" s="30" t="s">
        <v>77</v>
      </c>
      <c r="B17" s="66">
        <v>885423</v>
      </c>
      <c r="C17" s="32">
        <f>31202.02+364706.28</f>
        <v>395908.30000000005</v>
      </c>
      <c r="D17" s="66">
        <v>0</v>
      </c>
      <c r="E17" s="32">
        <f>3188.37+4118.79</f>
        <v>7307.16</v>
      </c>
      <c r="F17" s="66">
        <f>1168000-45000</f>
        <v>1123000</v>
      </c>
      <c r="G17" s="32">
        <f>137117.67+808606.12</f>
        <v>945723.79</v>
      </c>
      <c r="H17" s="96">
        <v>130000</v>
      </c>
      <c r="I17" s="78">
        <f>87744.16+552533.83</f>
        <v>640277.99</v>
      </c>
      <c r="J17" s="96">
        <v>3500</v>
      </c>
      <c r="K17" s="78">
        <f>139.99+9100</f>
        <v>9239.99</v>
      </c>
      <c r="L17" s="96">
        <v>0</v>
      </c>
      <c r="M17" s="78">
        <v>0</v>
      </c>
      <c r="N17" s="66">
        <v>0</v>
      </c>
      <c r="O17" s="36">
        <f>1320+102858.42</f>
        <v>104178.42</v>
      </c>
      <c r="P17" s="33">
        <f>+O17+K17+I17+G17+E17+C17+M17</f>
        <v>2102635.65</v>
      </c>
      <c r="Q17" s="33">
        <f t="shared" si="0"/>
        <v>39287.35000000009</v>
      </c>
    </row>
    <row r="18" spans="1:17" ht="18" thickBot="1">
      <c r="A18" s="37" t="s">
        <v>11</v>
      </c>
      <c r="B18" s="38">
        <f aca="true" t="shared" si="1" ref="B18:Q18">SUM(B7:B17)</f>
        <v>9435442</v>
      </c>
      <c r="C18" s="39">
        <f t="shared" si="1"/>
        <v>4674435.36</v>
      </c>
      <c r="D18" s="38">
        <f t="shared" si="1"/>
        <v>156700</v>
      </c>
      <c r="E18" s="39">
        <f t="shared" si="1"/>
        <v>75176.26000000001</v>
      </c>
      <c r="F18" s="38">
        <f t="shared" si="1"/>
        <v>3278255</v>
      </c>
      <c r="G18" s="39">
        <f t="shared" si="1"/>
        <v>2244030.33</v>
      </c>
      <c r="H18" s="38">
        <f t="shared" si="1"/>
        <v>857160</v>
      </c>
      <c r="I18" s="39">
        <f t="shared" si="1"/>
        <v>1123422.68</v>
      </c>
      <c r="J18" s="38">
        <f t="shared" si="1"/>
        <v>164550</v>
      </c>
      <c r="K18" s="39">
        <f t="shared" si="1"/>
        <v>248435.03999999998</v>
      </c>
      <c r="L18" s="38">
        <f t="shared" si="1"/>
        <v>38900</v>
      </c>
      <c r="M18" s="39">
        <f t="shared" si="1"/>
        <v>12698.189999999999</v>
      </c>
      <c r="N18" s="38">
        <f t="shared" si="1"/>
        <v>945100</v>
      </c>
      <c r="O18" s="39">
        <f t="shared" si="1"/>
        <v>1085284.91</v>
      </c>
      <c r="P18" s="40">
        <f t="shared" si="1"/>
        <v>9463482.77</v>
      </c>
      <c r="Q18" s="40">
        <f t="shared" si="1"/>
        <v>5412624.23</v>
      </c>
    </row>
    <row r="19" spans="1:17" ht="17.25" thickBot="1">
      <c r="A19" s="41" t="s">
        <v>30</v>
      </c>
      <c r="B19" s="42"/>
      <c r="C19" s="134">
        <f>+C18/B18</f>
        <v>0.49541244172769017</v>
      </c>
      <c r="D19" s="44"/>
      <c r="E19" s="134">
        <f>+E18/D18</f>
        <v>0.47974639438417366</v>
      </c>
      <c r="F19" s="134"/>
      <c r="G19" s="134">
        <f>+G18/F18</f>
        <v>0.6845197612754347</v>
      </c>
      <c r="H19" s="134"/>
      <c r="I19" s="134">
        <f>+I18/H18</f>
        <v>1.31063358066172</v>
      </c>
      <c r="J19" s="134"/>
      <c r="K19" s="44">
        <f>+K18/J18</f>
        <v>1.5097845031905195</v>
      </c>
      <c r="L19" s="159"/>
      <c r="M19" s="159">
        <f>+M18/L18</f>
        <v>0.326431619537275</v>
      </c>
      <c r="N19" s="134"/>
      <c r="O19" s="143">
        <f>+O18/N18</f>
        <v>1.1483281240080414</v>
      </c>
      <c r="P19" s="56"/>
      <c r="Q19" s="56"/>
    </row>
    <row r="20" spans="1:17" ht="8.25" customHeight="1">
      <c r="A20" s="47"/>
      <c r="B20" s="47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6:17" ht="16.5">
      <c r="P21" s="50"/>
      <c r="Q21" s="5"/>
    </row>
    <row r="23" ht="17.25">
      <c r="P23" s="67"/>
    </row>
    <row r="24" ht="16.5">
      <c r="P24" s="68"/>
    </row>
    <row r="25" ht="16.5">
      <c r="P25" s="56"/>
    </row>
    <row r="26" ht="16.5">
      <c r="P26" s="56"/>
    </row>
    <row r="27" ht="16.5">
      <c r="P27" s="56"/>
    </row>
    <row r="41" spans="1:6" ht="16.5">
      <c r="A41" s="51"/>
      <c r="B41" s="51"/>
      <c r="C41" s="51"/>
      <c r="D41" s="51"/>
      <c r="E41" s="51"/>
      <c r="F41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7" spans="3:6" ht="16.5">
      <c r="C47" s="50"/>
      <c r="D47" s="5"/>
      <c r="E47" s="51"/>
      <c r="F47" s="51"/>
    </row>
    <row r="48" spans="3:6" ht="16.5">
      <c r="C48" s="50"/>
      <c r="D48" s="5"/>
      <c r="E48" s="51"/>
      <c r="F48" s="51"/>
    </row>
    <row r="49" spans="3:6" ht="16.5">
      <c r="C49" s="50"/>
      <c r="D49" s="5"/>
      <c r="E49" s="51"/>
      <c r="F49" s="51"/>
    </row>
    <row r="50" ht="16.5">
      <c r="C50" s="46"/>
    </row>
    <row r="52" spans="1:4" ht="16.5">
      <c r="A52" s="60" t="s">
        <v>26</v>
      </c>
      <c r="B52" s="69" t="s">
        <v>27</v>
      </c>
      <c r="C52" s="60" t="s">
        <v>28</v>
      </c>
      <c r="D52" s="60"/>
    </row>
    <row r="53" spans="1:3" ht="17.25">
      <c r="A53" s="62">
        <f>+B18</f>
        <v>9435442</v>
      </c>
      <c r="B53" s="63">
        <f>+C18</f>
        <v>4674435.36</v>
      </c>
      <c r="C53" s="60" t="s">
        <v>1</v>
      </c>
    </row>
    <row r="54" spans="1:3" ht="17.25">
      <c r="A54" s="62">
        <f>+D18</f>
        <v>156700</v>
      </c>
      <c r="B54" s="63">
        <f>+E18</f>
        <v>75176.26000000001</v>
      </c>
      <c r="C54" s="60" t="s">
        <v>2</v>
      </c>
    </row>
    <row r="55" spans="1:3" ht="17.25">
      <c r="A55" s="62">
        <f>+F18</f>
        <v>3278255</v>
      </c>
      <c r="B55" s="63">
        <f>+G18</f>
        <v>2244030.33</v>
      </c>
      <c r="C55" s="60" t="s">
        <v>3</v>
      </c>
    </row>
    <row r="56" spans="1:3" ht="17.25">
      <c r="A56" s="62">
        <f>+H18</f>
        <v>857160</v>
      </c>
      <c r="B56" s="63">
        <f>+I18</f>
        <v>1123422.68</v>
      </c>
      <c r="C56" s="60" t="s">
        <v>34</v>
      </c>
    </row>
    <row r="57" spans="1:3" ht="17.25">
      <c r="A57" s="62">
        <f>+J18</f>
        <v>164550</v>
      </c>
      <c r="B57" s="63">
        <f>+K18</f>
        <v>248435.03999999998</v>
      </c>
      <c r="C57" s="60" t="s">
        <v>32</v>
      </c>
    </row>
    <row r="58" spans="1:3" ht="17.25">
      <c r="A58" s="62">
        <v>0</v>
      </c>
      <c r="B58" s="63">
        <f>+M18</f>
        <v>12698.189999999999</v>
      </c>
      <c r="C58" s="60" t="s">
        <v>99</v>
      </c>
    </row>
    <row r="59" spans="1:3" ht="17.25">
      <c r="A59" s="62">
        <f>+N18</f>
        <v>945100</v>
      </c>
      <c r="B59" s="63">
        <f>+O18</f>
        <v>1085284.91</v>
      </c>
      <c r="C59" s="60" t="s">
        <v>35</v>
      </c>
    </row>
    <row r="60" spans="1:3" ht="17.25">
      <c r="A60" s="62"/>
      <c r="B60" s="62"/>
      <c r="C60" s="60"/>
    </row>
    <row r="61" spans="1:3" ht="17.25">
      <c r="A61" s="62">
        <v>866913</v>
      </c>
      <c r="B61" s="63">
        <v>406071.92</v>
      </c>
      <c r="C61" s="60"/>
    </row>
    <row r="62" spans="1:3" ht="17.25">
      <c r="A62" s="62"/>
      <c r="B62" s="62"/>
      <c r="C62" s="60"/>
    </row>
    <row r="63" spans="1:2" ht="17.25">
      <c r="A63" s="62"/>
      <c r="B63" s="62"/>
    </row>
    <row r="64" spans="1:2" ht="17.25">
      <c r="A64" s="62"/>
      <c r="B64" s="62"/>
    </row>
    <row r="65" spans="1:2" ht="17.25">
      <c r="A65" s="62"/>
      <c r="B65" s="62"/>
    </row>
    <row r="66" spans="1:2" ht="17.25">
      <c r="A66" s="62"/>
      <c r="B66" s="62"/>
    </row>
    <row r="67" spans="1:2" ht="17.25">
      <c r="A67" s="62"/>
      <c r="B67" s="62"/>
    </row>
    <row r="68" spans="1:2" ht="17.25">
      <c r="A68" s="62"/>
      <c r="B68" s="62"/>
    </row>
    <row r="69" spans="1:2" ht="17.25">
      <c r="A69" s="62"/>
      <c r="B69" s="62"/>
    </row>
    <row r="70" spans="1:2" ht="17.25">
      <c r="A70" s="62"/>
      <c r="B70" s="62"/>
    </row>
    <row r="71" spans="1:2" ht="17.25">
      <c r="A71" s="62"/>
      <c r="B71" s="62"/>
    </row>
    <row r="72" spans="1:2" ht="17.25">
      <c r="A72" s="62"/>
      <c r="B72" s="62"/>
    </row>
    <row r="73" spans="1:2" ht="17.25">
      <c r="A73" s="62"/>
      <c r="B73" s="62"/>
    </row>
    <row r="74" spans="1:2" ht="17.25">
      <c r="A74" s="62"/>
      <c r="B74" s="62"/>
    </row>
    <row r="75" spans="1:2" ht="17.25">
      <c r="A75" s="62"/>
      <c r="B75" s="62"/>
    </row>
    <row r="76" spans="1:2" ht="17.25">
      <c r="A76" s="62"/>
      <c r="B76" s="62"/>
    </row>
    <row r="77" spans="1:2" ht="17.25">
      <c r="A77" s="62"/>
      <c r="B77" s="62"/>
    </row>
  </sheetData>
  <sheetProtection/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31496062992125984" right="0" top="0.4724409448818898" bottom="0.5511811023622047" header="0.1968503937007874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P16" sqref="P16"/>
    </sheetView>
  </sheetViews>
  <sheetFormatPr defaultColWidth="11.421875" defaultRowHeight="15"/>
  <cols>
    <col min="1" max="1" width="15.00390625" style="1" customWidth="1"/>
    <col min="2" max="2" width="12.00390625" style="1" customWidth="1"/>
    <col min="3" max="3" width="12.140625" style="1" customWidth="1"/>
    <col min="4" max="4" width="9.421875" style="1" customWidth="1"/>
    <col min="5" max="5" width="10.421875" style="1" customWidth="1"/>
    <col min="6" max="6" width="9.28125" style="1" customWidth="1"/>
    <col min="7" max="7" width="12.421875" style="1" customWidth="1"/>
    <col min="8" max="8" width="6.57421875" style="1" customWidth="1"/>
    <col min="9" max="9" width="8.7109375" style="1" customWidth="1"/>
    <col min="10" max="10" width="7.57421875" style="1" customWidth="1"/>
    <col min="11" max="11" width="10.140625" style="1" customWidth="1"/>
    <col min="12" max="12" width="7.57421875" style="1" customWidth="1"/>
    <col min="13" max="13" width="9.28125" style="1" customWidth="1"/>
    <col min="14" max="14" width="9.421875" style="1" customWidth="1"/>
    <col min="15" max="15" width="10.8515625" style="1" customWidth="1"/>
    <col min="16" max="16" width="12.28125" style="1" customWidth="1"/>
    <col min="17" max="17" width="12.421875" style="1" customWidth="1"/>
    <col min="18" max="18" width="11.28125" style="1" customWidth="1"/>
    <col min="19" max="16384" width="11.421875" style="1" customWidth="1"/>
  </cols>
  <sheetData>
    <row r="1" spans="14:15" ht="16.5">
      <c r="N1" s="70"/>
      <c r="O1" s="70"/>
    </row>
    <row r="2" spans="1:15" ht="18">
      <c r="A2" s="141" t="s">
        <v>0</v>
      </c>
      <c r="B2" s="182" t="s">
        <v>122</v>
      </c>
      <c r="C2" s="194"/>
      <c r="D2" s="194"/>
      <c r="E2" s="194"/>
      <c r="F2" s="194"/>
      <c r="G2" s="195"/>
      <c r="L2" s="191" t="s">
        <v>23</v>
      </c>
      <c r="M2" s="192"/>
      <c r="N2" s="146">
        <v>41426</v>
      </c>
      <c r="O2" s="71"/>
    </row>
    <row r="3" spans="2:5" ht="12.75" customHeight="1">
      <c r="B3" s="193"/>
      <c r="C3" s="193"/>
      <c r="D3" s="193"/>
      <c r="E3" s="193"/>
    </row>
    <row r="4" spans="15:16" ht="18" thickBot="1">
      <c r="O4" s="72"/>
      <c r="P4" s="63"/>
    </row>
    <row r="5" spans="1:17" ht="17.25">
      <c r="A5" s="24"/>
      <c r="B5" s="189" t="s">
        <v>1</v>
      </c>
      <c r="C5" s="190"/>
      <c r="D5" s="189" t="s">
        <v>2</v>
      </c>
      <c r="E5" s="190"/>
      <c r="F5" s="189" t="s">
        <v>3</v>
      </c>
      <c r="G5" s="190"/>
      <c r="H5" s="73" t="s">
        <v>90</v>
      </c>
      <c r="I5" s="73"/>
      <c r="J5" s="189" t="s">
        <v>32</v>
      </c>
      <c r="K5" s="190"/>
      <c r="L5" s="189" t="s">
        <v>36</v>
      </c>
      <c r="M5" s="190"/>
      <c r="N5" s="189" t="s">
        <v>33</v>
      </c>
      <c r="O5" s="190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1" t="s">
        <v>25</v>
      </c>
      <c r="Q6" s="29" t="s">
        <v>39</v>
      </c>
    </row>
    <row r="7" spans="1:18" ht="17.25">
      <c r="A7" s="30" t="s">
        <v>14</v>
      </c>
      <c r="B7" s="163">
        <f>964631-155809.53</f>
        <v>808821.47</v>
      </c>
      <c r="C7" s="32">
        <f>13485.79+180627.09+4765.41+41112.46+16009.27+143505.3+5746.43+59894.55</f>
        <v>465146.29999999993</v>
      </c>
      <c r="D7" s="66">
        <v>0</v>
      </c>
      <c r="E7" s="32">
        <v>6045</v>
      </c>
      <c r="F7" s="66">
        <v>25000</v>
      </c>
      <c r="G7" s="32">
        <f>3398.28+25420.71+1528.5</f>
        <v>30347.489999999998</v>
      </c>
      <c r="H7" s="66">
        <v>0</v>
      </c>
      <c r="I7" s="32">
        <v>0</v>
      </c>
      <c r="J7" s="66">
        <v>4800</v>
      </c>
      <c r="K7" s="32">
        <v>0</v>
      </c>
      <c r="L7" s="66">
        <v>0</v>
      </c>
      <c r="M7" s="32">
        <v>0</v>
      </c>
      <c r="N7" s="66">
        <f>2630000+162959.53</f>
        <v>2792959.53</v>
      </c>
      <c r="O7" s="32">
        <v>405201.45</v>
      </c>
      <c r="P7" s="33">
        <f>+C7+E7+G7+K7+O7+I7</f>
        <v>906740.24</v>
      </c>
      <c r="Q7" s="33">
        <f aca="true" t="shared" si="0" ref="Q7:Q12">+B7+D7+F7+J7+N7+H7-P7</f>
        <v>2724840.76</v>
      </c>
      <c r="R7" s="154"/>
    </row>
    <row r="8" spans="1:17" ht="17.25">
      <c r="A8" s="30" t="s">
        <v>6</v>
      </c>
      <c r="B8" s="31">
        <v>799235</v>
      </c>
      <c r="C8" s="32">
        <f>27437.23+267929.33+7456.23+70195.78</f>
        <v>373018.56999999995</v>
      </c>
      <c r="D8" s="66">
        <v>4000</v>
      </c>
      <c r="E8" s="32">
        <v>147</v>
      </c>
      <c r="F8" s="96">
        <v>1239410</v>
      </c>
      <c r="G8" s="78">
        <f>1246025.97+440</f>
        <v>1246465.97</v>
      </c>
      <c r="H8" s="66">
        <v>0</v>
      </c>
      <c r="I8" s="32">
        <v>0</v>
      </c>
      <c r="J8" s="66">
        <v>10000</v>
      </c>
      <c r="K8" s="32">
        <v>0</v>
      </c>
      <c r="L8" s="66">
        <v>0</v>
      </c>
      <c r="M8" s="32">
        <v>0</v>
      </c>
      <c r="N8" s="66">
        <v>0</v>
      </c>
      <c r="O8" s="32">
        <v>33512.47</v>
      </c>
      <c r="P8" s="33">
        <f>+C8+E8+G8+K8+O8+I8</f>
        <v>1653144.01</v>
      </c>
      <c r="Q8" s="33">
        <f t="shared" si="0"/>
        <v>399500.99</v>
      </c>
    </row>
    <row r="9" spans="1:17" ht="17.25">
      <c r="A9" s="30" t="s">
        <v>98</v>
      </c>
      <c r="B9" s="31">
        <v>1899088</v>
      </c>
      <c r="C9" s="32">
        <f>39510.36+506870.49+14358.16+125463.84+4996.38+37794.72+8767.36+82885.06</f>
        <v>820646.3699999999</v>
      </c>
      <c r="D9" s="66">
        <v>7500</v>
      </c>
      <c r="E9" s="32">
        <v>11439.42</v>
      </c>
      <c r="F9" s="66">
        <v>77200</v>
      </c>
      <c r="G9" s="32">
        <f>53354.23+2900</f>
        <v>56254.23</v>
      </c>
      <c r="H9" s="66">
        <v>0</v>
      </c>
      <c r="I9" s="32">
        <v>0</v>
      </c>
      <c r="J9" s="66">
        <v>22100</v>
      </c>
      <c r="K9" s="32">
        <v>1499</v>
      </c>
      <c r="L9" s="66">
        <v>20000</v>
      </c>
      <c r="M9" s="32">
        <v>0</v>
      </c>
      <c r="N9" s="66">
        <v>0</v>
      </c>
      <c r="O9" s="32">
        <v>83123.59</v>
      </c>
      <c r="P9" s="33">
        <f>+C9+E9+G9+K9+O9+I9</f>
        <v>972962.6099999999</v>
      </c>
      <c r="Q9" s="33">
        <f>+B9+D9+F9+J9+N9+H9-P9+L9</f>
        <v>1052925.3900000001</v>
      </c>
    </row>
    <row r="10" spans="1:17" ht="17.25">
      <c r="A10" s="30" t="s">
        <v>7</v>
      </c>
      <c r="B10" s="31">
        <v>632665</v>
      </c>
      <c r="C10" s="32">
        <f>23809.15+254490.63+2895.25+33477.57</f>
        <v>314672.60000000003</v>
      </c>
      <c r="D10" s="66">
        <v>74000</v>
      </c>
      <c r="E10" s="32">
        <f>12865.09+45689.46</f>
        <v>58554.55</v>
      </c>
      <c r="F10" s="66">
        <v>109000</v>
      </c>
      <c r="G10" s="32">
        <f>3351.78+3521.35</f>
        <v>6873.13</v>
      </c>
      <c r="H10" s="66">
        <v>0</v>
      </c>
      <c r="I10" s="32">
        <v>0</v>
      </c>
      <c r="J10" s="66">
        <v>52000</v>
      </c>
      <c r="K10" s="32">
        <v>0</v>
      </c>
      <c r="L10" s="66">
        <v>0</v>
      </c>
      <c r="M10" s="32">
        <v>0</v>
      </c>
      <c r="N10" s="66">
        <v>0</v>
      </c>
      <c r="O10" s="32">
        <v>29835.97</v>
      </c>
      <c r="P10" s="33">
        <f>+C10+E10+G10+K10+O10+I10+M10</f>
        <v>409936.25</v>
      </c>
      <c r="Q10" s="33">
        <f t="shared" si="0"/>
        <v>457728.75</v>
      </c>
    </row>
    <row r="11" spans="1:19" ht="17.25">
      <c r="A11" s="30" t="s">
        <v>9</v>
      </c>
      <c r="B11" s="31">
        <v>1507496</v>
      </c>
      <c r="C11" s="32">
        <f>75637.38+668368.24</f>
        <v>744005.62</v>
      </c>
      <c r="D11" s="66">
        <v>18000</v>
      </c>
      <c r="E11" s="32">
        <f>4737+3498.5</f>
        <v>8235.5</v>
      </c>
      <c r="F11" s="66">
        <v>422806</v>
      </c>
      <c r="G11" s="32">
        <f>67.66+363368.92</f>
        <v>363436.57999999996</v>
      </c>
      <c r="H11" s="66">
        <v>0</v>
      </c>
      <c r="I11" s="32">
        <v>0</v>
      </c>
      <c r="J11" s="66">
        <v>23900</v>
      </c>
      <c r="K11" s="32">
        <v>418</v>
      </c>
      <c r="L11" s="66">
        <v>0</v>
      </c>
      <c r="M11" s="32">
        <v>0</v>
      </c>
      <c r="N11" s="66">
        <v>0</v>
      </c>
      <c r="O11" s="32">
        <v>67382.21</v>
      </c>
      <c r="P11" s="33">
        <f>+C11+E11+G11+K11+O11+I11</f>
        <v>1183477.91</v>
      </c>
      <c r="Q11" s="33">
        <f t="shared" si="0"/>
        <v>788724.0900000001</v>
      </c>
      <c r="S11" s="5"/>
    </row>
    <row r="12" spans="1:17" ht="17.25">
      <c r="A12" s="30" t="s">
        <v>8</v>
      </c>
      <c r="B12" s="31">
        <v>1748048</v>
      </c>
      <c r="C12" s="32">
        <f>77137.97+684719.58+6331.3+63425.1+6997.78+56427.96</f>
        <v>895039.69</v>
      </c>
      <c r="D12" s="66">
        <f>931600-1500</f>
        <v>930100</v>
      </c>
      <c r="E12" s="32">
        <f>49652.86+698479.03</f>
        <v>748131.89</v>
      </c>
      <c r="F12" s="66">
        <v>191000</v>
      </c>
      <c r="G12" s="32">
        <f>19200+21120.79</f>
        <v>40320.79</v>
      </c>
      <c r="H12" s="66">
        <v>0</v>
      </c>
      <c r="I12" s="32">
        <v>0</v>
      </c>
      <c r="J12" s="66">
        <v>29700</v>
      </c>
      <c r="K12" s="32">
        <v>3890</v>
      </c>
      <c r="L12" s="66">
        <v>0</v>
      </c>
      <c r="M12" s="32">
        <v>0</v>
      </c>
      <c r="N12" s="66">
        <v>0</v>
      </c>
      <c r="O12" s="32">
        <v>82304.01</v>
      </c>
      <c r="P12" s="33">
        <f>+C12+E12+G12+K12+O12+I12+M12</f>
        <v>1769686.3800000001</v>
      </c>
      <c r="Q12" s="33">
        <f t="shared" si="0"/>
        <v>1129161.6199999999</v>
      </c>
    </row>
    <row r="13" spans="1:17" ht="17.25">
      <c r="A13" s="30" t="s">
        <v>10</v>
      </c>
      <c r="B13" s="31">
        <v>302258</v>
      </c>
      <c r="C13" s="32">
        <f>12577.87+126980.65</f>
        <v>139558.52</v>
      </c>
      <c r="D13" s="66">
        <v>450</v>
      </c>
      <c r="E13" s="32">
        <v>660</v>
      </c>
      <c r="F13" s="66">
        <v>10600</v>
      </c>
      <c r="G13" s="32">
        <v>15326.45</v>
      </c>
      <c r="H13" s="66">
        <v>0</v>
      </c>
      <c r="I13" s="32">
        <v>0</v>
      </c>
      <c r="J13" s="66">
        <v>6000</v>
      </c>
      <c r="K13" s="32">
        <v>0</v>
      </c>
      <c r="L13" s="66">
        <v>2500</v>
      </c>
      <c r="M13" s="32">
        <v>4817.13</v>
      </c>
      <c r="N13" s="66">
        <v>0</v>
      </c>
      <c r="O13" s="32">
        <v>13649.01</v>
      </c>
      <c r="P13" s="33">
        <f>+C13+E13+G13+K13+O13+I13+M13</f>
        <v>174011.11000000002</v>
      </c>
      <c r="Q13" s="33">
        <f>+B13+D13+F13+J13+N13+H13-P13+L13</f>
        <v>147796.88999999998</v>
      </c>
    </row>
    <row r="14" spans="1:17" ht="18" thickBot="1">
      <c r="A14" s="37" t="s">
        <v>11</v>
      </c>
      <c r="B14" s="164">
        <f aca="true" t="shared" si="1" ref="B14:Q14">SUM(B7:B13)</f>
        <v>7697611.47</v>
      </c>
      <c r="C14" s="39">
        <f t="shared" si="1"/>
        <v>3752087.67</v>
      </c>
      <c r="D14" s="38">
        <f t="shared" si="1"/>
        <v>1034050</v>
      </c>
      <c r="E14" s="39">
        <f t="shared" si="1"/>
        <v>833213.36</v>
      </c>
      <c r="F14" s="75">
        <f t="shared" si="1"/>
        <v>2075016</v>
      </c>
      <c r="G14" s="39">
        <f t="shared" si="1"/>
        <v>1759024.64</v>
      </c>
      <c r="H14" s="75">
        <f t="shared" si="1"/>
        <v>0</v>
      </c>
      <c r="I14" s="39">
        <f t="shared" si="1"/>
        <v>0</v>
      </c>
      <c r="J14" s="38">
        <f t="shared" si="1"/>
        <v>148500</v>
      </c>
      <c r="K14" s="39">
        <f t="shared" si="1"/>
        <v>5807</v>
      </c>
      <c r="L14" s="38">
        <f>SUM(L7:L13)</f>
        <v>22500</v>
      </c>
      <c r="M14" s="39">
        <f>SUM(M7:M13)</f>
        <v>4817.13</v>
      </c>
      <c r="N14" s="38">
        <f t="shared" si="1"/>
        <v>2792959.53</v>
      </c>
      <c r="O14" s="39">
        <f t="shared" si="1"/>
        <v>715008.71</v>
      </c>
      <c r="P14" s="40">
        <f t="shared" si="1"/>
        <v>7069958.51</v>
      </c>
      <c r="Q14" s="40">
        <f t="shared" si="1"/>
        <v>6700678.49</v>
      </c>
    </row>
    <row r="15" spans="1:17" ht="17.25" thickBot="1">
      <c r="A15" s="41" t="s">
        <v>30</v>
      </c>
      <c r="B15" s="42"/>
      <c r="C15" s="134">
        <f>+C14/B14</f>
        <v>0.48743531478862756</v>
      </c>
      <c r="D15" s="134"/>
      <c r="E15" s="134">
        <f>+E14/D14</f>
        <v>0.8057766645713457</v>
      </c>
      <c r="F15" s="134"/>
      <c r="G15" s="134">
        <f>+G14/F14</f>
        <v>0.8477161814655887</v>
      </c>
      <c r="H15" s="43"/>
      <c r="I15" s="43"/>
      <c r="J15" s="43"/>
      <c r="K15" s="134">
        <f>+K14/J14</f>
        <v>0.03910437710437711</v>
      </c>
      <c r="L15" s="45"/>
      <c r="M15" s="142">
        <f>+M14/L14</f>
        <v>0.21409466666666668</v>
      </c>
      <c r="N15" s="45"/>
      <c r="O15" s="136">
        <f>+O14/N14</f>
        <v>0.25600396365213357</v>
      </c>
      <c r="P15" s="56"/>
      <c r="Q15" s="5"/>
    </row>
    <row r="16" spans="1:17" ht="16.5">
      <c r="A16" s="47"/>
      <c r="B16" s="47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35"/>
      <c r="Q16" s="5"/>
    </row>
    <row r="17" ht="16.5">
      <c r="P17" s="50"/>
    </row>
    <row r="39" spans="1:6" ht="16.5">
      <c r="A39" s="51"/>
      <c r="B39" s="51"/>
      <c r="C39" s="51"/>
      <c r="D39" s="51"/>
      <c r="E39" s="51"/>
      <c r="F39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8" spans="1:4" ht="16.5">
      <c r="A48" s="60" t="s">
        <v>26</v>
      </c>
      <c r="B48" s="60" t="s">
        <v>27</v>
      </c>
      <c r="C48" s="60" t="s">
        <v>28</v>
      </c>
      <c r="D48" s="5"/>
    </row>
    <row r="49" spans="1:3" ht="16.5">
      <c r="A49" s="1">
        <f>+B14</f>
        <v>7697611.47</v>
      </c>
      <c r="B49" s="50">
        <f>+C14</f>
        <v>3752087.67</v>
      </c>
      <c r="C49" s="60" t="s">
        <v>1</v>
      </c>
    </row>
    <row r="50" spans="1:3" ht="16.5">
      <c r="A50" s="1">
        <f>+D14</f>
        <v>1034050</v>
      </c>
      <c r="B50" s="50">
        <f>+E14</f>
        <v>833213.36</v>
      </c>
      <c r="C50" s="60" t="s">
        <v>2</v>
      </c>
    </row>
    <row r="51" spans="1:3" ht="16.5">
      <c r="A51" s="1">
        <f>+F14</f>
        <v>2075016</v>
      </c>
      <c r="B51" s="50">
        <f>+G14</f>
        <v>1759024.64</v>
      </c>
      <c r="C51" s="60" t="s">
        <v>3</v>
      </c>
    </row>
    <row r="52" spans="1:3" ht="16.5" hidden="1">
      <c r="A52" s="76">
        <f>+H14</f>
        <v>0</v>
      </c>
      <c r="B52" s="50">
        <f>+I14</f>
        <v>0</v>
      </c>
      <c r="C52" s="60" t="s">
        <v>34</v>
      </c>
    </row>
    <row r="53" spans="1:3" ht="16.5">
      <c r="A53" s="1">
        <f>+J14</f>
        <v>148500</v>
      </c>
      <c r="B53" s="5">
        <f>+K14</f>
        <v>5807</v>
      </c>
      <c r="C53" s="60" t="s">
        <v>32</v>
      </c>
    </row>
    <row r="54" spans="1:3" ht="16.5">
      <c r="A54" s="1">
        <v>0</v>
      </c>
      <c r="B54" s="5">
        <f>+M14</f>
        <v>4817.13</v>
      </c>
      <c r="C54" s="60" t="s">
        <v>99</v>
      </c>
    </row>
    <row r="55" spans="1:3" ht="17.25">
      <c r="A55" s="1">
        <f>+N14</f>
        <v>2792959.53</v>
      </c>
      <c r="B55" s="63">
        <f>+O14</f>
        <v>715008.71</v>
      </c>
      <c r="C55" s="60" t="s">
        <v>35</v>
      </c>
    </row>
    <row r="56" ht="16.5">
      <c r="C56" s="61"/>
    </row>
    <row r="57" spans="1:3" ht="17.25">
      <c r="A57" s="1">
        <v>2487582</v>
      </c>
      <c r="B57" s="63">
        <v>786542.11</v>
      </c>
      <c r="C57" s="61"/>
    </row>
    <row r="58" ht="16.5">
      <c r="C58" s="61"/>
    </row>
    <row r="59" ht="16.5">
      <c r="C59" s="61"/>
    </row>
    <row r="60" ht="16.5">
      <c r="C60" s="61"/>
    </row>
    <row r="61" ht="16.5">
      <c r="C61" s="61"/>
    </row>
    <row r="62" ht="16.5">
      <c r="C62" s="61"/>
    </row>
    <row r="63" ht="16.5">
      <c r="C63" s="61"/>
    </row>
  </sheetData>
  <sheetProtection/>
  <mergeCells count="9">
    <mergeCell ref="N5:O5"/>
    <mergeCell ref="B5:C5"/>
    <mergeCell ref="D5:E5"/>
    <mergeCell ref="F5:G5"/>
    <mergeCell ref="L5:M5"/>
    <mergeCell ref="L2:M2"/>
    <mergeCell ref="B3:E3"/>
    <mergeCell ref="J5:K5"/>
    <mergeCell ref="B2:G2"/>
  </mergeCells>
  <printOptions/>
  <pageMargins left="0.8267716535433072" right="0.4330708661417323" top="0.7874015748031497" bottom="0.5118110236220472" header="0.4330708661417323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zoomScalePageLayoutView="0" workbookViewId="0" topLeftCell="A19">
      <selection activeCell="P15" sqref="P15"/>
    </sheetView>
  </sheetViews>
  <sheetFormatPr defaultColWidth="11.421875" defaultRowHeight="15"/>
  <cols>
    <col min="1" max="1" width="16.8515625" style="1" customWidth="1"/>
    <col min="2" max="2" width="10.140625" style="1" customWidth="1"/>
    <col min="3" max="3" width="12.421875" style="1" customWidth="1"/>
    <col min="4" max="4" width="7.7109375" style="1" customWidth="1"/>
    <col min="5" max="5" width="9.57421875" style="1" customWidth="1"/>
    <col min="6" max="6" width="9.140625" style="1" customWidth="1"/>
    <col min="7" max="7" width="12.140625" style="1" customWidth="1"/>
    <col min="8" max="8" width="9.140625" style="1" customWidth="1"/>
    <col min="9" max="9" width="12.28125" style="1" customWidth="1"/>
    <col min="10" max="10" width="7.7109375" style="1" customWidth="1"/>
    <col min="11" max="11" width="9.7109375" style="1" customWidth="1"/>
    <col min="12" max="12" width="7.57421875" style="1" customWidth="1"/>
    <col min="13" max="13" width="9.57421875" style="1" customWidth="1"/>
    <col min="14" max="14" width="9.28125" style="1" customWidth="1"/>
    <col min="15" max="15" width="12.421875" style="1" customWidth="1"/>
    <col min="16" max="16" width="13.28125" style="1" customWidth="1"/>
    <col min="17" max="17" width="13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41" t="s">
        <v>0</v>
      </c>
      <c r="B2" s="182" t="s">
        <v>103</v>
      </c>
      <c r="C2" s="182"/>
      <c r="D2" s="196"/>
      <c r="E2" s="196"/>
      <c r="F2" s="195"/>
      <c r="I2" s="191" t="s">
        <v>23</v>
      </c>
      <c r="J2" s="191"/>
      <c r="K2" s="146">
        <v>41426</v>
      </c>
      <c r="L2" s="117"/>
      <c r="M2" s="117"/>
      <c r="N2" s="118"/>
      <c r="O2" s="54"/>
    </row>
    <row r="3" spans="2:4" ht="16.5">
      <c r="B3" s="197"/>
      <c r="C3" s="197"/>
      <c r="D3" s="65"/>
    </row>
    <row r="4" ht="17.25" thickBot="1"/>
    <row r="5" spans="1:17" ht="17.25">
      <c r="A5" s="24"/>
      <c r="B5" s="189" t="s">
        <v>1</v>
      </c>
      <c r="C5" s="190"/>
      <c r="D5" s="189" t="s">
        <v>2</v>
      </c>
      <c r="E5" s="190"/>
      <c r="F5" s="189" t="s">
        <v>3</v>
      </c>
      <c r="G5" s="190"/>
      <c r="H5" s="189" t="s">
        <v>4</v>
      </c>
      <c r="I5" s="190"/>
      <c r="J5" s="189" t="s">
        <v>32</v>
      </c>
      <c r="K5" s="190"/>
      <c r="L5" s="189" t="s">
        <v>36</v>
      </c>
      <c r="M5" s="190"/>
      <c r="N5" s="189" t="s">
        <v>33</v>
      </c>
      <c r="O5" s="190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1" t="s">
        <v>25</v>
      </c>
      <c r="Q6" s="29" t="s">
        <v>39</v>
      </c>
    </row>
    <row r="7" spans="1:18" ht="17.25">
      <c r="A7" s="30" t="s">
        <v>14</v>
      </c>
      <c r="B7" s="31">
        <v>2227218</v>
      </c>
      <c r="C7" s="32">
        <f>97855.83+1066590.44+11783.77+45683</f>
        <v>1221913.04</v>
      </c>
      <c r="D7" s="31">
        <f>167200-3000</f>
        <v>164200</v>
      </c>
      <c r="E7" s="32">
        <f>-7775.47+50314.47</f>
        <v>42539</v>
      </c>
      <c r="F7" s="31">
        <v>1276133</v>
      </c>
      <c r="G7" s="32">
        <f>86274.05+638230.24</f>
        <v>724504.29</v>
      </c>
      <c r="H7" s="31">
        <v>4667657</v>
      </c>
      <c r="I7" s="32">
        <f>329663.79+1965084.49</f>
        <v>2294748.28</v>
      </c>
      <c r="J7" s="31">
        <f>40000-1400</f>
        <v>38600</v>
      </c>
      <c r="K7" s="32">
        <f>26339+3084.91</f>
        <v>29423.91</v>
      </c>
      <c r="L7" s="31">
        <v>150000</v>
      </c>
      <c r="M7" s="36">
        <f>5486.99+26557.29</f>
        <v>32044.28</v>
      </c>
      <c r="N7" s="31">
        <f>1000000+411400</f>
        <v>1411400</v>
      </c>
      <c r="O7" s="32">
        <v>819814.55</v>
      </c>
      <c r="P7" s="33">
        <f>+C7+E7+G7+I7+K7+O7+M7</f>
        <v>5164987.35</v>
      </c>
      <c r="Q7" s="33">
        <f>+B7+D7+F7+H7+J7+N7-P7+L7</f>
        <v>4770220.65</v>
      </c>
      <c r="R7" s="5"/>
    </row>
    <row r="8" spans="1:18" ht="17.25">
      <c r="A8" s="30" t="s">
        <v>75</v>
      </c>
      <c r="B8" s="31">
        <v>391238</v>
      </c>
      <c r="C8" s="32">
        <f>20887.07+193881.4+2301.47+5595.94</f>
        <v>222665.88</v>
      </c>
      <c r="D8" s="31">
        <v>21000</v>
      </c>
      <c r="E8" s="32">
        <v>30087.24</v>
      </c>
      <c r="F8" s="31">
        <f>1751209-131000</f>
        <v>1620209</v>
      </c>
      <c r="G8" s="32">
        <f>51950+489665.39</f>
        <v>541615.39</v>
      </c>
      <c r="H8" s="31">
        <f>638991-56000</f>
        <v>582991</v>
      </c>
      <c r="I8" s="32">
        <f>4800+203270.59</f>
        <v>208070.59</v>
      </c>
      <c r="J8" s="31">
        <v>33000</v>
      </c>
      <c r="K8" s="32">
        <v>848</v>
      </c>
      <c r="L8" s="31">
        <v>25000</v>
      </c>
      <c r="M8" s="36">
        <v>4386.38</v>
      </c>
      <c r="N8" s="31">
        <v>0</v>
      </c>
      <c r="O8" s="32">
        <f>1095.2+69177.84</f>
        <v>70273.04</v>
      </c>
      <c r="P8" s="33">
        <f>+C8+E8+G8+I8+K8+O8+M8</f>
        <v>1077946.5199999998</v>
      </c>
      <c r="Q8" s="33">
        <f>+B8+D8+F8+H8+J8+N8-P8+L8</f>
        <v>1595491.4800000002</v>
      </c>
      <c r="R8" s="5"/>
    </row>
    <row r="9" spans="1:18" ht="17.25">
      <c r="A9" s="30" t="s">
        <v>81</v>
      </c>
      <c r="B9" s="31">
        <f>4772666-220000</f>
        <v>4552666</v>
      </c>
      <c r="C9" s="32">
        <f>183037.06+2098703.79</f>
        <v>2281740.85</v>
      </c>
      <c r="D9" s="31">
        <v>18000</v>
      </c>
      <c r="E9" s="32">
        <f>432.5+2239.7</f>
        <v>2672.2</v>
      </c>
      <c r="F9" s="31">
        <v>1003398</v>
      </c>
      <c r="G9" s="32">
        <f>-1575+3496.5+83787.91+353956.95</f>
        <v>439666.36</v>
      </c>
      <c r="H9" s="31">
        <v>1538509</v>
      </c>
      <c r="I9" s="32">
        <f>49589.04+487177.92</f>
        <v>536766.96</v>
      </c>
      <c r="J9" s="31">
        <v>21700</v>
      </c>
      <c r="K9" s="32">
        <v>474.4</v>
      </c>
      <c r="L9" s="31">
        <v>75000</v>
      </c>
      <c r="M9" s="36">
        <v>710</v>
      </c>
      <c r="N9" s="31">
        <v>0</v>
      </c>
      <c r="O9" s="32">
        <f>4500+290495.85</f>
        <v>294995.85</v>
      </c>
      <c r="P9" s="33">
        <f>+C9+E9+G9+I9+K9+O9+M9</f>
        <v>3557026.62</v>
      </c>
      <c r="Q9" s="33">
        <f>+B9+D9+F9+H9+J9+N9-P9+L9</f>
        <v>3652246.38</v>
      </c>
      <c r="R9" s="5"/>
    </row>
    <row r="10" spans="1:18" ht="17.25">
      <c r="A10" s="30" t="s">
        <v>118</v>
      </c>
      <c r="B10" s="31">
        <v>6092542</v>
      </c>
      <c r="C10" s="32">
        <f>312859.55+3035642.49</f>
        <v>3348502.04</v>
      </c>
      <c r="D10" s="31">
        <v>1500</v>
      </c>
      <c r="E10" s="32">
        <f>1345.2+1588.46</f>
        <v>2933.66</v>
      </c>
      <c r="F10" s="31">
        <v>825272</v>
      </c>
      <c r="G10" s="32">
        <f>60756.52+187363.63</f>
        <v>248120.15</v>
      </c>
      <c r="H10" s="31">
        <v>148039</v>
      </c>
      <c r="I10" s="32">
        <f>5380.8+7474.42</f>
        <v>12855.220000000001</v>
      </c>
      <c r="J10" s="31">
        <v>0</v>
      </c>
      <c r="K10" s="32">
        <v>85</v>
      </c>
      <c r="L10" s="31">
        <v>0</v>
      </c>
      <c r="M10" s="36">
        <v>0</v>
      </c>
      <c r="N10" s="31">
        <v>0</v>
      </c>
      <c r="O10" s="32">
        <v>376430.18</v>
      </c>
      <c r="P10" s="33">
        <f>+C10+E10+G10+I10+K10+O10+M10</f>
        <v>3988926.2500000005</v>
      </c>
      <c r="Q10" s="33">
        <f>+B10+D10+F10+H10+J10+N10-P10</f>
        <v>3078426.7499999995</v>
      </c>
      <c r="R10" s="5"/>
    </row>
    <row r="11" spans="1:18" ht="17.25">
      <c r="A11" s="30" t="s">
        <v>104</v>
      </c>
      <c r="B11" s="31">
        <v>1582694</v>
      </c>
      <c r="C11" s="32">
        <f>166.85+17585.51+88321.68+919627.19</f>
        <v>1025701.23</v>
      </c>
      <c r="D11" s="31">
        <v>21000</v>
      </c>
      <c r="E11" s="32">
        <f>-457.24+7344.26</f>
        <v>6887.02</v>
      </c>
      <c r="F11" s="31">
        <v>604859</v>
      </c>
      <c r="G11" s="32">
        <f>29767.43+389350.47</f>
        <v>419117.89999999997</v>
      </c>
      <c r="H11" s="31">
        <v>838208</v>
      </c>
      <c r="I11" s="32">
        <f>32447.86+303382.84</f>
        <v>335830.7</v>
      </c>
      <c r="J11" s="31">
        <v>57800</v>
      </c>
      <c r="K11" s="32">
        <v>447</v>
      </c>
      <c r="L11" s="31">
        <v>0</v>
      </c>
      <c r="M11" s="36">
        <v>0</v>
      </c>
      <c r="N11" s="31">
        <v>0</v>
      </c>
      <c r="O11" s="32">
        <v>200175.4</v>
      </c>
      <c r="P11" s="33">
        <f>+C11+E11+G11+I11+K11+O11</f>
        <v>1988159.2499999998</v>
      </c>
      <c r="Q11" s="33">
        <f>+B11+D11+F11+H11+J11+N11-P11</f>
        <v>1116401.7500000002</v>
      </c>
      <c r="R11" s="5"/>
    </row>
    <row r="12" spans="1:18" ht="17.25" hidden="1">
      <c r="A12" s="30" t="s">
        <v>76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6"/>
      <c r="N12" s="31">
        <v>0</v>
      </c>
      <c r="O12" s="32"/>
      <c r="P12" s="33">
        <f>+C12+E12+G12+I12+K12+O12+M12</f>
        <v>0</v>
      </c>
      <c r="Q12" s="33">
        <f>+B12+D12+F12+H12+J12+N12-P12</f>
        <v>0</v>
      </c>
      <c r="R12" s="5"/>
    </row>
    <row r="13" spans="1:18" ht="18" thickBot="1">
      <c r="A13" s="37" t="s">
        <v>11</v>
      </c>
      <c r="B13" s="38">
        <f aca="true" t="shared" si="0" ref="B13:Q13">SUM(B7:B12)</f>
        <v>14846358</v>
      </c>
      <c r="C13" s="39">
        <f t="shared" si="0"/>
        <v>8100523.040000001</v>
      </c>
      <c r="D13" s="38">
        <f t="shared" si="0"/>
        <v>225700</v>
      </c>
      <c r="E13" s="39">
        <f t="shared" si="0"/>
        <v>85119.12000000001</v>
      </c>
      <c r="F13" s="38">
        <f t="shared" si="0"/>
        <v>5329871</v>
      </c>
      <c r="G13" s="39">
        <f t="shared" si="0"/>
        <v>2373024.09</v>
      </c>
      <c r="H13" s="38">
        <f t="shared" si="0"/>
        <v>7775404</v>
      </c>
      <c r="I13" s="39">
        <f t="shared" si="0"/>
        <v>3388271.75</v>
      </c>
      <c r="J13" s="38">
        <f t="shared" si="0"/>
        <v>151100</v>
      </c>
      <c r="K13" s="39">
        <f>SUM(K7:K12)</f>
        <v>31278.31</v>
      </c>
      <c r="L13" s="38">
        <f>SUM(L7:L12)</f>
        <v>250000</v>
      </c>
      <c r="M13" s="39">
        <f>SUM(M7:M12)</f>
        <v>37140.659999999996</v>
      </c>
      <c r="N13" s="38">
        <f t="shared" si="0"/>
        <v>1411400</v>
      </c>
      <c r="O13" s="39">
        <f>SUM(O7:O12)</f>
        <v>1761689.0199999998</v>
      </c>
      <c r="P13" s="40">
        <f t="shared" si="0"/>
        <v>15777045.989999998</v>
      </c>
      <c r="Q13" s="40">
        <f t="shared" si="0"/>
        <v>14212787.010000002</v>
      </c>
      <c r="R13" s="5"/>
    </row>
    <row r="14" spans="1:17" ht="17.25" thickBot="1">
      <c r="A14" s="41" t="s">
        <v>30</v>
      </c>
      <c r="B14" s="42"/>
      <c r="C14" s="134">
        <f>+C13/B13</f>
        <v>0.5456235825648285</v>
      </c>
      <c r="D14" s="43"/>
      <c r="E14" s="134">
        <f>+E13/D13</f>
        <v>0.37713389455028806</v>
      </c>
      <c r="F14" s="43"/>
      <c r="G14" s="134">
        <f>+G13/F13</f>
        <v>0.4452310553107195</v>
      </c>
      <c r="H14" s="43"/>
      <c r="I14" s="134">
        <f>+I13/H13</f>
        <v>0.43576793565967764</v>
      </c>
      <c r="J14" s="43"/>
      <c r="K14" s="44">
        <f>+K13/J13</f>
        <v>0.20700403706154866</v>
      </c>
      <c r="L14" s="45"/>
      <c r="M14" s="45">
        <f>+M13/L13</f>
        <v>0.14856264</v>
      </c>
      <c r="N14" s="43"/>
      <c r="O14" s="136">
        <f>+O13/N13</f>
        <v>1.2481855037551366</v>
      </c>
      <c r="P14" s="56"/>
      <c r="Q14" s="5"/>
    </row>
    <row r="15" spans="1:16" ht="16.5">
      <c r="A15" s="47"/>
      <c r="B15" s="4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5"/>
    </row>
    <row r="32" spans="5:8" ht="16.5">
      <c r="E32" s="57"/>
      <c r="F32" s="57"/>
      <c r="G32" s="58"/>
      <c r="H32" s="58"/>
    </row>
    <row r="33" spans="5:8" ht="16.5">
      <c r="E33" s="59"/>
      <c r="F33" s="59"/>
      <c r="G33" s="59"/>
      <c r="H33" s="59"/>
    </row>
    <row r="38" spans="1:6" ht="16.5">
      <c r="A38" s="51"/>
      <c r="B38" s="51"/>
      <c r="C38" s="51"/>
      <c r="D38" s="51"/>
      <c r="E38" s="51"/>
      <c r="F38" s="51"/>
    </row>
    <row r="39" ht="16.5">
      <c r="C39" s="46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7" spans="1:5" ht="16.5">
      <c r="A47" s="60" t="s">
        <v>26</v>
      </c>
      <c r="B47" s="60" t="s">
        <v>27</v>
      </c>
      <c r="C47" s="60" t="s">
        <v>28</v>
      </c>
      <c r="D47" s="60"/>
      <c r="E47" s="61"/>
    </row>
    <row r="48" spans="1:3" ht="17.25">
      <c r="A48" s="62">
        <f>+B13</f>
        <v>14846358</v>
      </c>
      <c r="B48" s="63">
        <f>+C13</f>
        <v>8100523.040000001</v>
      </c>
      <c r="C48" s="60" t="s">
        <v>1</v>
      </c>
    </row>
    <row r="49" spans="1:3" ht="17.25">
      <c r="A49" s="62">
        <f>+D13</f>
        <v>225700</v>
      </c>
      <c r="B49" s="63">
        <f>+E13</f>
        <v>85119.12000000001</v>
      </c>
      <c r="C49" s="60" t="s">
        <v>2</v>
      </c>
    </row>
    <row r="50" spans="1:3" ht="17.25">
      <c r="A50" s="62">
        <f>+F13</f>
        <v>5329871</v>
      </c>
      <c r="B50" s="63">
        <f>+G13</f>
        <v>2373024.09</v>
      </c>
      <c r="C50" s="60" t="s">
        <v>3</v>
      </c>
    </row>
    <row r="51" spans="1:3" ht="17.25">
      <c r="A51" s="62">
        <f>+H13</f>
        <v>7775404</v>
      </c>
      <c r="B51" s="63">
        <f>+I13</f>
        <v>3388271.75</v>
      </c>
      <c r="C51" s="60" t="s">
        <v>34</v>
      </c>
    </row>
    <row r="52" spans="1:3" ht="17.25">
      <c r="A52" s="62">
        <f>+J13</f>
        <v>151100</v>
      </c>
      <c r="B52" s="63">
        <f>+K13</f>
        <v>31278.31</v>
      </c>
      <c r="C52" s="60" t="s">
        <v>32</v>
      </c>
    </row>
    <row r="53" spans="1:3" ht="17.25">
      <c r="A53" s="64">
        <f>+L13</f>
        <v>250000</v>
      </c>
      <c r="B53" s="63">
        <f>+M13</f>
        <v>37140.659999999996</v>
      </c>
      <c r="C53" s="60" t="s">
        <v>93</v>
      </c>
    </row>
    <row r="54" spans="1:3" ht="17.25">
      <c r="A54" s="62">
        <f>+N13</f>
        <v>1411400</v>
      </c>
      <c r="B54" s="63">
        <f>+O13</f>
        <v>1761689.0199999998</v>
      </c>
      <c r="C54" s="60" t="s">
        <v>35</v>
      </c>
    </row>
    <row r="55" spans="1:3" ht="17.25">
      <c r="A55" s="62"/>
      <c r="B55" s="62"/>
      <c r="C55" s="60"/>
    </row>
    <row r="56" spans="1:2" ht="16.5">
      <c r="A56" s="1">
        <v>2809993</v>
      </c>
      <c r="B56" s="5">
        <v>749308.3</v>
      </c>
    </row>
  </sheetData>
  <sheetProtection/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3937007874015748" right="0" top="0.9448818897637796" bottom="0.5905511811023623" header="0.31496062992125984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12.140625" style="1" customWidth="1"/>
    <col min="2" max="2" width="11.8515625" style="1" customWidth="1"/>
    <col min="3" max="3" width="11.28125" style="1" customWidth="1"/>
    <col min="4" max="4" width="7.57421875" style="1" customWidth="1"/>
    <col min="5" max="5" width="9.57421875" style="1" customWidth="1"/>
    <col min="6" max="6" width="11.8515625" style="1" customWidth="1"/>
    <col min="7" max="7" width="11.140625" style="1" customWidth="1"/>
    <col min="8" max="8" width="7.57421875" style="1" customWidth="1"/>
    <col min="9" max="9" width="9.7109375" style="1" customWidth="1"/>
    <col min="10" max="10" width="7.7109375" style="1" customWidth="1"/>
    <col min="11" max="11" width="9.140625" style="1" customWidth="1"/>
    <col min="12" max="12" width="13.00390625" style="1" customWidth="1"/>
    <col min="13" max="13" width="10.8515625" style="1" customWidth="1"/>
    <col min="14" max="14" width="12.00390625" style="1" customWidth="1"/>
    <col min="15" max="15" width="10.8515625" style="1" customWidth="1"/>
    <col min="16" max="17" width="11.8515625" style="1" customWidth="1"/>
    <col min="18" max="18" width="13.8515625" style="1" bestFit="1" customWidth="1"/>
    <col min="19" max="16384" width="11.421875" style="1" customWidth="1"/>
  </cols>
  <sheetData>
    <row r="2" spans="1:15" ht="18">
      <c r="A2" s="141" t="s">
        <v>0</v>
      </c>
      <c r="B2" s="182" t="s">
        <v>105</v>
      </c>
      <c r="C2" s="199"/>
      <c r="D2" s="199"/>
      <c r="E2" s="187"/>
      <c r="F2" s="187"/>
      <c r="L2" s="191" t="s">
        <v>23</v>
      </c>
      <c r="M2" s="192"/>
      <c r="N2" s="146">
        <v>41426</v>
      </c>
      <c r="O2" s="54"/>
    </row>
    <row r="3" spans="2:4" ht="16.5">
      <c r="B3" s="197"/>
      <c r="C3" s="198"/>
      <c r="D3" s="198"/>
    </row>
    <row r="4" ht="17.25" thickBot="1"/>
    <row r="5" spans="1:17" ht="17.25">
      <c r="A5" s="24"/>
      <c r="B5" s="189" t="s">
        <v>1</v>
      </c>
      <c r="C5" s="190"/>
      <c r="D5" s="189" t="s">
        <v>2</v>
      </c>
      <c r="E5" s="190"/>
      <c r="F5" s="189" t="s">
        <v>3</v>
      </c>
      <c r="G5" s="190"/>
      <c r="H5" s="189" t="s">
        <v>4</v>
      </c>
      <c r="I5" s="190"/>
      <c r="J5" s="189" t="s">
        <v>80</v>
      </c>
      <c r="K5" s="190"/>
      <c r="L5" s="189" t="s">
        <v>36</v>
      </c>
      <c r="M5" s="190"/>
      <c r="N5" s="189" t="s">
        <v>33</v>
      </c>
      <c r="O5" s="190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1" t="s">
        <v>25</v>
      </c>
      <c r="Q6" s="29" t="s">
        <v>39</v>
      </c>
    </row>
    <row r="7" spans="1:18" ht="17.25">
      <c r="A7" s="30" t="s">
        <v>14</v>
      </c>
      <c r="B7" s="163">
        <f>866975-147909.53</f>
        <v>719065.47</v>
      </c>
      <c r="C7" s="174">
        <f>15000.47+161497.83+4810.55+45389.45+15331.67+197508.48</f>
        <v>439538.45</v>
      </c>
      <c r="D7" s="31">
        <v>36000</v>
      </c>
      <c r="E7" s="174">
        <f>2476.91+11483.27</f>
        <v>13960.18</v>
      </c>
      <c r="F7" s="176">
        <f>559243-60764.77</f>
        <v>498478.23</v>
      </c>
      <c r="G7" s="177">
        <f>6094.92+139985.19+900+10990</f>
        <v>157970.11000000002</v>
      </c>
      <c r="H7" s="77">
        <v>260921</v>
      </c>
      <c r="I7" s="176">
        <v>834429.4</v>
      </c>
      <c r="J7" s="77">
        <v>20000</v>
      </c>
      <c r="K7" s="177">
        <v>0</v>
      </c>
      <c r="L7" s="77">
        <v>0</v>
      </c>
      <c r="M7" s="177">
        <v>1196.35</v>
      </c>
      <c r="N7" s="163">
        <f>1800000+633415.34</f>
        <v>2433415.34</v>
      </c>
      <c r="O7" s="174">
        <v>678655.98</v>
      </c>
      <c r="P7" s="80">
        <f>+O7+M7+K7+G7+E7+C7+I7</f>
        <v>2125750.47</v>
      </c>
      <c r="Q7" s="80">
        <f>+B7+D7+F7+J7+L7+N7-P7+H7</f>
        <v>1842129.5699999998</v>
      </c>
      <c r="R7" s="5"/>
    </row>
    <row r="8" spans="1:17" ht="17.25">
      <c r="A8" s="30" t="s">
        <v>13</v>
      </c>
      <c r="B8" s="31">
        <f>2631326-190000</f>
        <v>2441326</v>
      </c>
      <c r="C8" s="174">
        <f>32145.11+456283.06+45941.38+415624.27+25701.47+278782.7+4306.45+36405.19</f>
        <v>1295189.63</v>
      </c>
      <c r="D8" s="31">
        <v>15500</v>
      </c>
      <c r="E8" s="174">
        <v>401.84</v>
      </c>
      <c r="F8" s="77">
        <f>243148-32000</f>
        <v>211148</v>
      </c>
      <c r="G8" s="177">
        <f>285862.21+376690.47</f>
        <v>662552.6799999999</v>
      </c>
      <c r="H8" s="77">
        <v>0</v>
      </c>
      <c r="I8" s="176">
        <v>0</v>
      </c>
      <c r="J8" s="77">
        <v>133500</v>
      </c>
      <c r="K8" s="177">
        <v>26974</v>
      </c>
      <c r="L8" s="79">
        <v>0</v>
      </c>
      <c r="M8" s="177">
        <v>5900</v>
      </c>
      <c r="N8" s="79">
        <v>0</v>
      </c>
      <c r="O8" s="177">
        <f>2430.55+138720.43</f>
        <v>141150.97999999998</v>
      </c>
      <c r="P8" s="80">
        <f>+O8+M8+K8+G8+E8+C8</f>
        <v>2132169.13</v>
      </c>
      <c r="Q8" s="80">
        <f>+B8+D8+F8+J8+L8+N8-P8+H8</f>
        <v>669304.8700000001</v>
      </c>
    </row>
    <row r="9" spans="1:18" ht="17.25">
      <c r="A9" s="30" t="s">
        <v>12</v>
      </c>
      <c r="B9" s="31">
        <v>1956164</v>
      </c>
      <c r="C9" s="174">
        <f>25124.82+292462.67+12339.18+98196.31+6009.32+48343.19</f>
        <v>482475.49</v>
      </c>
      <c r="D9" s="31">
        <v>74600</v>
      </c>
      <c r="E9" s="174">
        <f>1621.82+53224.19</f>
        <v>54846.01</v>
      </c>
      <c r="F9" s="31">
        <v>103000</v>
      </c>
      <c r="G9" s="174">
        <f>8800.59+14122.79</f>
        <v>22923.38</v>
      </c>
      <c r="H9" s="31">
        <v>0</v>
      </c>
      <c r="I9" s="163">
        <v>0</v>
      </c>
      <c r="J9" s="31">
        <v>70500</v>
      </c>
      <c r="K9" s="174">
        <f>20204.85+21474.15</f>
        <v>41679</v>
      </c>
      <c r="L9" s="163">
        <f>18255000-40000-8732.99</f>
        <v>18206267.01</v>
      </c>
      <c r="M9" s="174">
        <f>98483.1+2415786.53+36485.39+209982.45</f>
        <v>2760737.47</v>
      </c>
      <c r="N9" s="31">
        <v>0</v>
      </c>
      <c r="O9" s="174">
        <f>468.33+181125.28</f>
        <v>181593.61</v>
      </c>
      <c r="P9" s="80">
        <f>+O9+M9+K9+G9+E9+C9+I9</f>
        <v>3544254.96</v>
      </c>
      <c r="Q9" s="80">
        <f>+B9+D9+F9+J9+L9+N9-P9+H9</f>
        <v>16866276.05</v>
      </c>
      <c r="R9" s="5"/>
    </row>
    <row r="10" spans="1:18" ht="17.25">
      <c r="A10" s="30" t="s">
        <v>79</v>
      </c>
      <c r="B10" s="31">
        <v>3908391</v>
      </c>
      <c r="C10" s="174">
        <f>34452.87+410436.54+7006.32+75288.17+26312.21+189460.28+7882.8+87742.9</f>
        <v>838582.0900000001</v>
      </c>
      <c r="D10" s="31">
        <f>259000-5000</f>
        <v>254000</v>
      </c>
      <c r="E10" s="174">
        <f>975.96+174149.14</f>
        <v>175125.1</v>
      </c>
      <c r="F10" s="31">
        <v>1896687</v>
      </c>
      <c r="G10" s="174">
        <f>122243.18+493809.16+8401.66+22053.44</f>
        <v>646507.44</v>
      </c>
      <c r="H10" s="31">
        <v>0</v>
      </c>
      <c r="I10" s="163">
        <v>0</v>
      </c>
      <c r="J10" s="31">
        <v>200000</v>
      </c>
      <c r="K10" s="174">
        <v>6114.96</v>
      </c>
      <c r="L10" s="31">
        <f>9737170-100000-49005.05</f>
        <v>9588164.95</v>
      </c>
      <c r="M10" s="174">
        <f>240857.03+2373195.01-14057.41</f>
        <v>2599994.6299999994</v>
      </c>
      <c r="N10" s="31">
        <v>0</v>
      </c>
      <c r="O10" s="174">
        <f>490.22+570707.25</f>
        <v>571197.47</v>
      </c>
      <c r="P10" s="80">
        <f>+O10+M10+K10+I10+G10+E10+C10</f>
        <v>4837521.6899999995</v>
      </c>
      <c r="Q10" s="80">
        <f>+N10+L10+J10+H10+F10+D10+B10-P10</f>
        <v>11009721.26</v>
      </c>
      <c r="R10" s="5"/>
    </row>
    <row r="11" spans="1:17" ht="9" customHeight="1">
      <c r="A11" s="30"/>
      <c r="B11" s="34"/>
      <c r="C11" s="174"/>
      <c r="D11" s="31"/>
      <c r="E11" s="174"/>
      <c r="F11" s="31"/>
      <c r="G11" s="174"/>
      <c r="H11" s="163"/>
      <c r="I11" s="163"/>
      <c r="J11" s="31"/>
      <c r="K11" s="174"/>
      <c r="L11" s="31"/>
      <c r="M11" s="174"/>
      <c r="N11" s="31"/>
      <c r="O11" s="174"/>
      <c r="P11" s="80"/>
      <c r="Q11" s="80"/>
    </row>
    <row r="12" spans="1:17" ht="18" thickBot="1">
      <c r="A12" s="37" t="s">
        <v>11</v>
      </c>
      <c r="B12" s="164">
        <f aca="true" t="shared" si="0" ref="B12:Q12">SUM(B7:B11)</f>
        <v>9024946.469999999</v>
      </c>
      <c r="C12" s="178">
        <f t="shared" si="0"/>
        <v>3055785.66</v>
      </c>
      <c r="D12" s="38">
        <f t="shared" si="0"/>
        <v>380100</v>
      </c>
      <c r="E12" s="178">
        <f t="shared" si="0"/>
        <v>244333.13</v>
      </c>
      <c r="F12" s="164">
        <f t="shared" si="0"/>
        <v>2709313.23</v>
      </c>
      <c r="G12" s="178">
        <f t="shared" si="0"/>
        <v>1489953.6099999999</v>
      </c>
      <c r="H12" s="38">
        <f t="shared" si="0"/>
        <v>260921</v>
      </c>
      <c r="I12" s="179">
        <f t="shared" si="0"/>
        <v>834429.4</v>
      </c>
      <c r="J12" s="38">
        <f t="shared" si="0"/>
        <v>424000</v>
      </c>
      <c r="K12" s="178">
        <f t="shared" si="0"/>
        <v>74767.96</v>
      </c>
      <c r="L12" s="164">
        <f t="shared" si="0"/>
        <v>27794431.96</v>
      </c>
      <c r="M12" s="178">
        <f t="shared" si="0"/>
        <v>5367828.449999999</v>
      </c>
      <c r="N12" s="164">
        <f t="shared" si="0"/>
        <v>2433415.34</v>
      </c>
      <c r="O12" s="178">
        <f t="shared" si="0"/>
        <v>1572598.04</v>
      </c>
      <c r="P12" s="180">
        <f t="shared" si="0"/>
        <v>12639696.25</v>
      </c>
      <c r="Q12" s="180">
        <f t="shared" si="0"/>
        <v>30387431.75</v>
      </c>
    </row>
    <row r="13" spans="1:17" ht="17.25" thickBot="1">
      <c r="A13" s="41" t="s">
        <v>30</v>
      </c>
      <c r="B13" s="42"/>
      <c r="C13" s="134">
        <f>+C12/B12</f>
        <v>0.3385932171628715</v>
      </c>
      <c r="D13" s="43"/>
      <c r="E13" s="134">
        <f>+E12/D12</f>
        <v>0.6428127598000526</v>
      </c>
      <c r="F13" s="43"/>
      <c r="G13" s="134">
        <f>+G12/F12</f>
        <v>0.5499377456625788</v>
      </c>
      <c r="H13" s="43"/>
      <c r="I13" s="44">
        <f>+I12/H12</f>
        <v>3.19801549127897</v>
      </c>
      <c r="J13" s="43"/>
      <c r="K13" s="44">
        <f>+K12/J12</f>
        <v>0.17633952830188682</v>
      </c>
      <c r="L13" s="43"/>
      <c r="M13" s="134">
        <f>+M12/L12</f>
        <v>0.1931260353773389</v>
      </c>
      <c r="N13" s="45"/>
      <c r="O13" s="136">
        <f>+O12/N12</f>
        <v>0.6462513875662509</v>
      </c>
      <c r="P13" s="56"/>
      <c r="Q13" s="5"/>
    </row>
    <row r="14" spans="12:17" ht="16.5">
      <c r="L14" s="76"/>
      <c r="P14" s="50"/>
      <c r="Q14" s="50"/>
    </row>
    <row r="15" ht="16.5">
      <c r="P15" s="50"/>
    </row>
    <row r="37" spans="1:6" ht="16.5">
      <c r="A37" s="51"/>
      <c r="B37" s="51"/>
      <c r="C37" s="51"/>
      <c r="D37" s="51"/>
      <c r="E37" s="51"/>
      <c r="F37" s="51"/>
    </row>
    <row r="39" spans="3:6" ht="17.25">
      <c r="C39" s="63"/>
      <c r="D39" s="5"/>
      <c r="E39" s="51"/>
      <c r="F39" s="51"/>
    </row>
    <row r="40" spans="3:6" ht="17.25">
      <c r="C40" s="63"/>
      <c r="D40" s="5"/>
      <c r="E40" s="51"/>
      <c r="F40" s="51"/>
    </row>
    <row r="41" spans="3:6" ht="17.25">
      <c r="C41" s="63"/>
      <c r="D41" s="5"/>
      <c r="E41" s="51"/>
      <c r="F41" s="51"/>
    </row>
    <row r="42" spans="3:6" ht="17.25">
      <c r="C42" s="63"/>
      <c r="D42" s="5"/>
      <c r="E42" s="51"/>
      <c r="F42" s="51"/>
    </row>
    <row r="43" spans="3:6" ht="17.25">
      <c r="C43" s="63"/>
      <c r="D43" s="5"/>
      <c r="E43" s="51"/>
      <c r="F43" s="51"/>
    </row>
    <row r="44" spans="3:6" ht="17.25">
      <c r="C44" s="63"/>
      <c r="D44" s="5"/>
      <c r="E44" s="51"/>
      <c r="F44" s="51"/>
    </row>
    <row r="45" ht="17.25">
      <c r="C45" s="62"/>
    </row>
    <row r="48" spans="4:5" ht="16.5">
      <c r="D48" s="60"/>
      <c r="E48" s="60"/>
    </row>
    <row r="49" spans="1:5" ht="16.5">
      <c r="A49" s="60" t="s">
        <v>26</v>
      </c>
      <c r="B49" s="60" t="s">
        <v>27</v>
      </c>
      <c r="C49" s="60" t="s">
        <v>28</v>
      </c>
      <c r="D49" s="60"/>
      <c r="E49" s="60"/>
    </row>
    <row r="50" spans="1:3" ht="17.25">
      <c r="A50" s="62">
        <f>+B12</f>
        <v>9024946.469999999</v>
      </c>
      <c r="B50" s="63">
        <f>+C12</f>
        <v>3055785.66</v>
      </c>
      <c r="C50" s="60" t="s">
        <v>1</v>
      </c>
    </row>
    <row r="51" spans="1:3" ht="17.25">
      <c r="A51" s="62">
        <f>+D12</f>
        <v>380100</v>
      </c>
      <c r="B51" s="63">
        <f>+E12</f>
        <v>244333.13</v>
      </c>
      <c r="C51" s="60" t="s">
        <v>2</v>
      </c>
    </row>
    <row r="52" spans="1:3" ht="17.25">
      <c r="A52" s="62">
        <f>+F12</f>
        <v>2709313.23</v>
      </c>
      <c r="B52" s="63">
        <f>+G12</f>
        <v>1489953.6099999999</v>
      </c>
      <c r="C52" s="60" t="s">
        <v>3</v>
      </c>
    </row>
    <row r="53" spans="1:3" ht="17.25">
      <c r="A53" s="64">
        <f>+H12</f>
        <v>260921</v>
      </c>
      <c r="B53" s="63">
        <f>+I12</f>
        <v>834429.4</v>
      </c>
      <c r="C53" s="60" t="s">
        <v>34</v>
      </c>
    </row>
    <row r="54" spans="1:3" ht="17.25">
      <c r="A54" s="62">
        <f>+J12</f>
        <v>424000</v>
      </c>
      <c r="B54" s="63">
        <f>+K12</f>
        <v>74767.96</v>
      </c>
      <c r="C54" s="60" t="s">
        <v>32</v>
      </c>
    </row>
    <row r="55" spans="1:3" ht="17.25">
      <c r="A55" s="62">
        <f>+L12</f>
        <v>27794431.96</v>
      </c>
      <c r="B55" s="63">
        <f>+M12</f>
        <v>5367828.449999999</v>
      </c>
      <c r="C55" s="60" t="s">
        <v>29</v>
      </c>
    </row>
    <row r="56" spans="1:3" ht="17.25">
      <c r="A56" s="62">
        <f>+N12</f>
        <v>2433415.34</v>
      </c>
      <c r="B56" s="63">
        <f>+O12</f>
        <v>1572598.04</v>
      </c>
      <c r="C56" s="60" t="s">
        <v>35</v>
      </c>
    </row>
    <row r="57" spans="1:2" ht="17.25">
      <c r="A57" s="62">
        <v>2832908</v>
      </c>
      <c r="B57" s="63">
        <v>692231.2</v>
      </c>
    </row>
    <row r="58" spans="1:2" ht="17.25">
      <c r="A58" s="62"/>
      <c r="B58" s="62"/>
    </row>
    <row r="59" spans="1:2" ht="17.25">
      <c r="A59" s="62"/>
      <c r="B59" s="62"/>
    </row>
  </sheetData>
  <sheetProtection/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3937007874015748" right="0" top="1.0236220472440944" bottom="0.5118110236220472" header="0.3149606299212598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18.57421875" style="1" customWidth="1"/>
    <col min="2" max="2" width="10.7109375" style="1" customWidth="1"/>
    <col min="3" max="3" width="12.28125" style="1" customWidth="1"/>
    <col min="4" max="4" width="7.8515625" style="1" customWidth="1"/>
    <col min="5" max="5" width="10.57421875" style="1" customWidth="1"/>
    <col min="6" max="6" width="11.8515625" style="1" customWidth="1"/>
    <col min="7" max="7" width="12.00390625" style="1" customWidth="1"/>
    <col min="8" max="8" width="6.421875" style="1" customWidth="1"/>
    <col min="9" max="9" width="10.00390625" style="1" customWidth="1"/>
    <col min="10" max="10" width="7.57421875" style="1" customWidth="1"/>
    <col min="11" max="11" width="10.421875" style="1" customWidth="1"/>
    <col min="12" max="12" width="6.7109375" style="1" customWidth="1"/>
    <col min="13" max="13" width="9.57421875" style="1" customWidth="1"/>
    <col min="14" max="14" width="11.8515625" style="1" customWidth="1"/>
    <col min="15" max="15" width="12.00390625" style="1" customWidth="1"/>
    <col min="16" max="17" width="13.28125" style="1" customWidth="1"/>
    <col min="18" max="18" width="13.8515625" style="1" bestFit="1" customWidth="1"/>
    <col min="19" max="16384" width="11.421875" style="1" customWidth="1"/>
  </cols>
  <sheetData>
    <row r="2" spans="1:15" ht="18">
      <c r="A2" s="141" t="s">
        <v>0</v>
      </c>
      <c r="B2" s="182" t="s">
        <v>106</v>
      </c>
      <c r="C2" s="199"/>
      <c r="D2" s="199"/>
      <c r="E2" s="199"/>
      <c r="F2" s="194"/>
      <c r="G2" s="194"/>
      <c r="H2" s="194"/>
      <c r="I2" s="195"/>
      <c r="J2" s="20"/>
      <c r="K2" s="191" t="s">
        <v>23</v>
      </c>
      <c r="L2" s="192"/>
      <c r="M2" s="146">
        <v>41426</v>
      </c>
      <c r="O2" s="54"/>
    </row>
    <row r="3" spans="2:16" ht="16.5">
      <c r="B3" s="197"/>
      <c r="C3" s="198"/>
      <c r="D3" s="198"/>
      <c r="E3" s="198"/>
      <c r="F3" s="65"/>
      <c r="P3" s="81"/>
    </row>
    <row r="5" ht="17.25" thickBot="1"/>
    <row r="6" spans="1:17" ht="17.25">
      <c r="A6" s="24"/>
      <c r="B6" s="189" t="s">
        <v>1</v>
      </c>
      <c r="C6" s="190"/>
      <c r="D6" s="189" t="s">
        <v>2</v>
      </c>
      <c r="E6" s="190"/>
      <c r="F6" s="189" t="s">
        <v>3</v>
      </c>
      <c r="G6" s="190"/>
      <c r="H6" s="189" t="s">
        <v>4</v>
      </c>
      <c r="I6" s="190"/>
      <c r="J6" s="189" t="s">
        <v>32</v>
      </c>
      <c r="K6" s="190"/>
      <c r="L6" s="189" t="s">
        <v>36</v>
      </c>
      <c r="M6" s="190"/>
      <c r="N6" s="189" t="s">
        <v>33</v>
      </c>
      <c r="O6" s="190"/>
      <c r="P6" s="25" t="s">
        <v>5</v>
      </c>
      <c r="Q6" s="25" t="s">
        <v>38</v>
      </c>
    </row>
    <row r="7" spans="1:17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7" t="s">
        <v>31</v>
      </c>
      <c r="O7" s="27" t="s">
        <v>37</v>
      </c>
      <c r="P7" s="121" t="s">
        <v>25</v>
      </c>
      <c r="Q7" s="29" t="s">
        <v>39</v>
      </c>
    </row>
    <row r="8" spans="1:18" ht="17.25">
      <c r="A8" s="82" t="s">
        <v>14</v>
      </c>
      <c r="B8" s="163">
        <f>1017388-147909.53</f>
        <v>869478.47</v>
      </c>
      <c r="C8" s="32">
        <f>31020.67+271468.56+5723.77+44488.69+14006.71+144631.49</f>
        <v>511339.89</v>
      </c>
      <c r="D8" s="31">
        <v>46500</v>
      </c>
      <c r="E8" s="32">
        <f>4158.02+13381.41</f>
        <v>17539.43</v>
      </c>
      <c r="F8" s="31">
        <v>1058900</v>
      </c>
      <c r="G8" s="32">
        <f>47675.35+558160.39</f>
        <v>605835.74</v>
      </c>
      <c r="H8" s="77">
        <v>3000</v>
      </c>
      <c r="I8" s="78">
        <v>22428</v>
      </c>
      <c r="J8" s="31">
        <v>610000</v>
      </c>
      <c r="K8" s="32">
        <v>0</v>
      </c>
      <c r="L8" s="31">
        <v>0</v>
      </c>
      <c r="M8" s="36">
        <v>908.14</v>
      </c>
      <c r="N8" s="163">
        <f>800000+374634.28</f>
        <v>1174634.28</v>
      </c>
      <c r="O8" s="32">
        <v>584194.8</v>
      </c>
      <c r="P8" s="33">
        <f>+O8+K8+G8+E8+C8+I8+M8</f>
        <v>1742245.9999999998</v>
      </c>
      <c r="Q8" s="33">
        <f>+B8+D8+F8+H8+J8+N8-P8</f>
        <v>2020266.7500000002</v>
      </c>
      <c r="R8" s="5"/>
    </row>
    <row r="9" spans="1:18" ht="17.25">
      <c r="A9" s="82" t="s">
        <v>88</v>
      </c>
      <c r="B9" s="31">
        <f>4762592-190000</f>
        <v>4572592</v>
      </c>
      <c r="C9" s="32">
        <f>23164.61+386409.35+77736.99+673888.97+50245.01+455430.19+83545.08+732045.88</f>
        <v>2482466.08</v>
      </c>
      <c r="D9" s="31">
        <v>111500</v>
      </c>
      <c r="E9" s="32">
        <f>3092.84+42379.55</f>
        <v>45472.39</v>
      </c>
      <c r="F9" s="31">
        <v>326300</v>
      </c>
      <c r="G9" s="32">
        <f>2932.1+31039.37-1449.99+3107+1009.68</f>
        <v>36638.159999999996</v>
      </c>
      <c r="H9" s="31">
        <v>0</v>
      </c>
      <c r="I9" s="32">
        <v>0</v>
      </c>
      <c r="J9" s="31">
        <v>53350</v>
      </c>
      <c r="K9" s="32">
        <v>269.3</v>
      </c>
      <c r="L9" s="31">
        <v>0</v>
      </c>
      <c r="M9" s="36">
        <v>0</v>
      </c>
      <c r="N9" s="31">
        <v>0</v>
      </c>
      <c r="O9" s="32">
        <v>260517.18</v>
      </c>
      <c r="P9" s="33">
        <f>+O9+K9+G9+E9+C9+M9</f>
        <v>2825363.11</v>
      </c>
      <c r="Q9" s="33">
        <f>+B9+D9+F9+H9+J9+N9-P9</f>
        <v>2238378.89</v>
      </c>
      <c r="R9" s="5"/>
    </row>
    <row r="10" spans="1:18" ht="17.25">
      <c r="A10" s="82" t="s">
        <v>87</v>
      </c>
      <c r="B10" s="31">
        <v>5997223</v>
      </c>
      <c r="C10" s="32">
        <f>42492.89+625315.67+6200.61+77438.92+260288.37+2047984.41</f>
        <v>3059720.87</v>
      </c>
      <c r="D10" s="31">
        <f>148150-1300</f>
        <v>146850</v>
      </c>
      <c r="E10" s="32">
        <f>4297.06+101598.2+1500.01</f>
        <v>107395.26999999999</v>
      </c>
      <c r="F10" s="163">
        <f>5623200-35424.75</f>
        <v>5587775.25</v>
      </c>
      <c r="G10" s="32">
        <f>596832.33+2102950.18-1580+34183.09</f>
        <v>2732385.6</v>
      </c>
      <c r="H10" s="31">
        <v>0</v>
      </c>
      <c r="I10" s="32">
        <v>0</v>
      </c>
      <c r="J10" s="31">
        <v>80000</v>
      </c>
      <c r="K10" s="32">
        <f>3970+4050.8</f>
        <v>8020.8</v>
      </c>
      <c r="L10" s="31">
        <v>0</v>
      </c>
      <c r="M10" s="36">
        <v>0</v>
      </c>
      <c r="N10" s="31">
        <v>0</v>
      </c>
      <c r="O10" s="32">
        <v>1559457.76</v>
      </c>
      <c r="P10" s="33">
        <f>+O10+K10+G10+E10+C10+M10+I10</f>
        <v>7466980.3</v>
      </c>
      <c r="Q10" s="33">
        <f>+B10+D10+F10+H10+J10+N10-P10</f>
        <v>4344867.95</v>
      </c>
      <c r="R10" s="5"/>
    </row>
    <row r="11" spans="1:18" ht="17.25">
      <c r="A11" s="82" t="s">
        <v>146</v>
      </c>
      <c r="B11" s="31">
        <v>5923625</v>
      </c>
      <c r="C11" s="32">
        <f>14819.76+294836.42+257626.33+2373733.38+7336.5+91517.96</f>
        <v>3039870.3499999996</v>
      </c>
      <c r="D11" s="31">
        <v>353000</v>
      </c>
      <c r="E11" s="32">
        <f>14952.04+135104.6</f>
        <v>150056.64</v>
      </c>
      <c r="F11" s="31">
        <v>455500</v>
      </c>
      <c r="G11" s="32">
        <f>56986.44+290544.65-986.44+1262.44</f>
        <v>347807.09</v>
      </c>
      <c r="H11" s="31">
        <v>3000</v>
      </c>
      <c r="I11" s="32">
        <v>0</v>
      </c>
      <c r="J11" s="31">
        <v>190000</v>
      </c>
      <c r="K11" s="32">
        <f>7900+84220.02+215.2</f>
        <v>92335.22</v>
      </c>
      <c r="L11" s="31">
        <v>0</v>
      </c>
      <c r="M11" s="36">
        <v>0</v>
      </c>
      <c r="N11" s="31">
        <v>0</v>
      </c>
      <c r="O11" s="32">
        <f>3289+305274.34</f>
        <v>308563.34</v>
      </c>
      <c r="P11" s="33">
        <f>+O11+K11+G11+E11+C11</f>
        <v>3938632.6399999997</v>
      </c>
      <c r="Q11" s="33">
        <f>+B11+D11+F11+H11+J11+N11+L11-P11</f>
        <v>2986492.3600000003</v>
      </c>
      <c r="R11" s="5"/>
    </row>
    <row r="12" spans="1:17" ht="9" customHeight="1">
      <c r="A12" s="82"/>
      <c r="B12" s="34"/>
      <c r="C12" s="32"/>
      <c r="D12" s="34"/>
      <c r="E12" s="32"/>
      <c r="F12" s="34"/>
      <c r="G12" s="32"/>
      <c r="H12" s="34"/>
      <c r="I12" s="32"/>
      <c r="J12" s="34"/>
      <c r="K12" s="32"/>
      <c r="L12" s="36"/>
      <c r="M12" s="36"/>
      <c r="N12" s="34"/>
      <c r="O12" s="32"/>
      <c r="P12" s="33"/>
      <c r="Q12" s="33"/>
    </row>
    <row r="13" spans="1:17" ht="18" thickBot="1">
      <c r="A13" s="37" t="s">
        <v>11</v>
      </c>
      <c r="B13" s="38">
        <f aca="true" t="shared" si="0" ref="B13:Q13">SUM(B8:B12)</f>
        <v>17362918.47</v>
      </c>
      <c r="C13" s="39">
        <f t="shared" si="0"/>
        <v>9093397.19</v>
      </c>
      <c r="D13" s="38">
        <f t="shared" si="0"/>
        <v>657850</v>
      </c>
      <c r="E13" s="39">
        <f t="shared" si="0"/>
        <v>320463.73</v>
      </c>
      <c r="F13" s="164">
        <f t="shared" si="0"/>
        <v>7428475.25</v>
      </c>
      <c r="G13" s="39">
        <f t="shared" si="0"/>
        <v>3722666.59</v>
      </c>
      <c r="H13" s="38">
        <f t="shared" si="0"/>
        <v>6000</v>
      </c>
      <c r="I13" s="39">
        <f t="shared" si="0"/>
        <v>22428</v>
      </c>
      <c r="J13" s="38">
        <f t="shared" si="0"/>
        <v>933350</v>
      </c>
      <c r="K13" s="39">
        <f t="shared" si="0"/>
        <v>100625.32</v>
      </c>
      <c r="L13" s="38">
        <f>SUM(L8:L12)</f>
        <v>0</v>
      </c>
      <c r="M13" s="39">
        <f>SUM(M8:M12)</f>
        <v>908.14</v>
      </c>
      <c r="N13" s="164">
        <f t="shared" si="0"/>
        <v>1174634.28</v>
      </c>
      <c r="O13" s="39">
        <f t="shared" si="0"/>
        <v>2712733.08</v>
      </c>
      <c r="P13" s="83">
        <f t="shared" si="0"/>
        <v>15973222.05</v>
      </c>
      <c r="Q13" s="148">
        <f t="shared" si="0"/>
        <v>11590005.95</v>
      </c>
    </row>
    <row r="14" spans="1:17" ht="17.25" thickBot="1">
      <c r="A14" s="37" t="s">
        <v>30</v>
      </c>
      <c r="B14" s="84"/>
      <c r="C14" s="89">
        <f>+C13/B13</f>
        <v>0.5237251563273625</v>
      </c>
      <c r="D14" s="85"/>
      <c r="E14" s="89">
        <f>+E13/D13</f>
        <v>0.48713799498365884</v>
      </c>
      <c r="F14" s="85"/>
      <c r="G14" s="89">
        <f>+G13/F13</f>
        <v>0.5011346830562571</v>
      </c>
      <c r="H14" s="85"/>
      <c r="I14" s="89">
        <f>+I13/H13</f>
        <v>3.738</v>
      </c>
      <c r="J14" s="161"/>
      <c r="K14" s="89">
        <f>+K13/J13</f>
        <v>0.1078109176621846</v>
      </c>
      <c r="L14" s="86"/>
      <c r="M14" s="45"/>
      <c r="N14" s="43"/>
      <c r="O14" s="136">
        <f>+O13/N13</f>
        <v>2.3094278161199244</v>
      </c>
      <c r="P14" s="56"/>
      <c r="Q14" s="5"/>
    </row>
    <row r="15" spans="1:17" ht="16.5">
      <c r="A15" s="47"/>
      <c r="B15" s="4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5"/>
      <c r="Q15" s="76"/>
    </row>
    <row r="16" ht="16.5">
      <c r="P16" s="5"/>
    </row>
    <row r="18" ht="16.5">
      <c r="Q18" s="5"/>
    </row>
    <row r="41" spans="1:6" ht="16.5">
      <c r="A41" s="51"/>
      <c r="B41" s="51"/>
      <c r="C41" s="51"/>
      <c r="D41" s="51"/>
      <c r="E41" s="51"/>
      <c r="F41" s="51"/>
    </row>
    <row r="43" spans="3:6" ht="16.5">
      <c r="C43" s="50"/>
      <c r="D43" s="5"/>
      <c r="E43" s="51"/>
      <c r="F43" s="51"/>
    </row>
    <row r="44" spans="4:6" ht="16.5">
      <c r="D44" s="5"/>
      <c r="F44" s="51"/>
    </row>
    <row r="45" spans="1:6" ht="16.5">
      <c r="A45" s="60" t="s">
        <v>26</v>
      </c>
      <c r="B45" s="69" t="s">
        <v>27</v>
      </c>
      <c r="C45" s="87" t="s">
        <v>28</v>
      </c>
      <c r="D45" s="5"/>
      <c r="F45" s="51"/>
    </row>
    <row r="46" spans="1:6" ht="17.25">
      <c r="A46" s="62">
        <f>+B13</f>
        <v>17362918.47</v>
      </c>
      <c r="B46" s="63">
        <f>+C13</f>
        <v>9093397.19</v>
      </c>
      <c r="C46" s="87" t="s">
        <v>1</v>
      </c>
      <c r="D46" s="5"/>
      <c r="F46" s="51"/>
    </row>
    <row r="47" spans="1:6" ht="17.25">
      <c r="A47" s="62">
        <f>+D13</f>
        <v>657850</v>
      </c>
      <c r="B47" s="63">
        <f>+E13</f>
        <v>320463.73</v>
      </c>
      <c r="C47" s="87" t="s">
        <v>2</v>
      </c>
      <c r="D47" s="5"/>
      <c r="F47" s="51"/>
    </row>
    <row r="48" spans="1:6" ht="17.25">
      <c r="A48" s="62">
        <f>+F13</f>
        <v>7428475.25</v>
      </c>
      <c r="B48" s="63">
        <f>+G13</f>
        <v>3722666.59</v>
      </c>
      <c r="C48" s="87" t="s">
        <v>3</v>
      </c>
      <c r="D48" s="5"/>
      <c r="F48" s="51"/>
    </row>
    <row r="49" spans="1:6" ht="17.25">
      <c r="A49" s="64">
        <f>+H13</f>
        <v>6000</v>
      </c>
      <c r="B49" s="63">
        <f>+I13</f>
        <v>22428</v>
      </c>
      <c r="C49" s="88" t="s">
        <v>34</v>
      </c>
      <c r="D49" s="5"/>
      <c r="F49" s="51"/>
    </row>
    <row r="50" spans="1:3" ht="17.25">
      <c r="A50" s="62">
        <f>+J13</f>
        <v>933350</v>
      </c>
      <c r="B50" s="63">
        <f>+K13</f>
        <v>100625.32</v>
      </c>
      <c r="C50" s="60" t="s">
        <v>32</v>
      </c>
    </row>
    <row r="51" spans="1:3" ht="17.25">
      <c r="A51" s="64">
        <f>+L13</f>
        <v>0</v>
      </c>
      <c r="B51" s="63">
        <f>+M13</f>
        <v>908.14</v>
      </c>
      <c r="C51" s="60" t="s">
        <v>97</v>
      </c>
    </row>
    <row r="52" spans="1:3" ht="17.25">
      <c r="A52" s="62">
        <f>+N13</f>
        <v>1174634.28</v>
      </c>
      <c r="B52" s="63">
        <f>+O13</f>
        <v>2712733.08</v>
      </c>
      <c r="C52" s="60" t="s">
        <v>35</v>
      </c>
    </row>
    <row r="53" spans="2:3" ht="16.5">
      <c r="B53" s="46"/>
      <c r="C53" s="60"/>
    </row>
    <row r="54" spans="1:2" ht="16.5">
      <c r="A54" s="1">
        <v>2161994.87</v>
      </c>
      <c r="B54" s="50">
        <v>623381.8</v>
      </c>
    </row>
  </sheetData>
  <sheetProtection/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2362204724409449" right="0" top="0.984251968503937" bottom="0.984251968503937" header="0.393700787401574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P13" sqref="P13"/>
    </sheetView>
  </sheetViews>
  <sheetFormatPr defaultColWidth="11.421875" defaultRowHeight="15"/>
  <cols>
    <col min="1" max="1" width="22.421875" style="1" customWidth="1"/>
    <col min="2" max="2" width="11.00390625" style="1" customWidth="1"/>
    <col min="3" max="3" width="10.57421875" style="1" customWidth="1"/>
    <col min="4" max="4" width="7.7109375" style="1" customWidth="1"/>
    <col min="5" max="5" width="9.140625" style="1" customWidth="1"/>
    <col min="6" max="6" width="7.8515625" style="1" customWidth="1"/>
    <col min="7" max="7" width="9.421875" style="1" customWidth="1"/>
    <col min="8" max="8" width="7.57421875" style="1" customWidth="1"/>
    <col min="9" max="9" width="11.140625" style="1" customWidth="1"/>
    <col min="10" max="10" width="7.7109375" style="1" customWidth="1"/>
    <col min="11" max="11" width="9.7109375" style="1" customWidth="1"/>
    <col min="12" max="12" width="7.140625" style="1" customWidth="1"/>
    <col min="13" max="13" width="9.57421875" style="1" customWidth="1"/>
    <col min="14" max="14" width="7.57421875" style="1" customWidth="1"/>
    <col min="15" max="15" width="10.421875" style="1" customWidth="1"/>
    <col min="16" max="16" width="12.421875" style="1" customWidth="1"/>
    <col min="17" max="17" width="12.140625" style="1" customWidth="1"/>
    <col min="18" max="18" width="12.140625" style="1" bestFit="1" customWidth="1"/>
    <col min="19" max="16384" width="11.421875" style="1" customWidth="1"/>
  </cols>
  <sheetData>
    <row r="2" spans="1:15" ht="18">
      <c r="A2" s="141" t="s">
        <v>0</v>
      </c>
      <c r="B2" s="182" t="s">
        <v>107</v>
      </c>
      <c r="C2" s="182"/>
      <c r="D2" s="187"/>
      <c r="E2" s="187"/>
      <c r="I2" s="191" t="s">
        <v>23</v>
      </c>
      <c r="J2" s="191"/>
      <c r="K2" s="146">
        <v>41426</v>
      </c>
      <c r="L2" s="120"/>
      <c r="M2" s="120"/>
      <c r="O2" s="22"/>
    </row>
    <row r="3" spans="2:3" ht="16.5">
      <c r="B3" s="197"/>
      <c r="C3" s="197"/>
    </row>
    <row r="5" ht="17.25" thickBot="1"/>
    <row r="6" spans="1:17" ht="17.25">
      <c r="A6" s="24"/>
      <c r="B6" s="189" t="s">
        <v>1</v>
      </c>
      <c r="C6" s="190"/>
      <c r="D6" s="189" t="s">
        <v>2</v>
      </c>
      <c r="E6" s="190"/>
      <c r="F6" s="189" t="s">
        <v>3</v>
      </c>
      <c r="G6" s="190"/>
      <c r="H6" s="189" t="s">
        <v>4</v>
      </c>
      <c r="I6" s="190"/>
      <c r="J6" s="189" t="s">
        <v>32</v>
      </c>
      <c r="K6" s="190"/>
      <c r="L6" s="122" t="s">
        <v>36</v>
      </c>
      <c r="M6" s="73"/>
      <c r="N6" s="189" t="s">
        <v>33</v>
      </c>
      <c r="O6" s="190"/>
      <c r="P6" s="25" t="s">
        <v>5</v>
      </c>
      <c r="Q6" s="25" t="s">
        <v>38</v>
      </c>
    </row>
    <row r="7" spans="1:17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7" t="s">
        <v>31</v>
      </c>
      <c r="O7" s="27" t="s">
        <v>37</v>
      </c>
      <c r="P7" s="28" t="s">
        <v>25</v>
      </c>
      <c r="Q7" s="29" t="s">
        <v>39</v>
      </c>
    </row>
    <row r="8" spans="1:18" ht="17.25">
      <c r="A8" s="30" t="s">
        <v>94</v>
      </c>
      <c r="B8" s="163">
        <f>1216792-167909.53</f>
        <v>1048882.47</v>
      </c>
      <c r="C8" s="32">
        <f>48614.64+447627.41</f>
        <v>496242.05</v>
      </c>
      <c r="D8" s="66">
        <v>74000</v>
      </c>
      <c r="E8" s="32">
        <f>1014.18+3465.78</f>
        <v>4479.96</v>
      </c>
      <c r="F8" s="66">
        <v>408500</v>
      </c>
      <c r="G8" s="32">
        <f>1021+13058.14</f>
        <v>14079.14</v>
      </c>
      <c r="H8" s="66">
        <f>335416-1000</f>
        <v>334416</v>
      </c>
      <c r="I8" s="32">
        <f>420+41266+153041.6</f>
        <v>194727.6</v>
      </c>
      <c r="J8" s="66">
        <v>170000</v>
      </c>
      <c r="K8" s="32">
        <f>10480+503.21</f>
        <v>10983.21</v>
      </c>
      <c r="L8" s="66">
        <v>0</v>
      </c>
      <c r="M8" s="32">
        <v>0</v>
      </c>
      <c r="N8" s="66">
        <f>100000+168909.53</f>
        <v>268909.53</v>
      </c>
      <c r="O8" s="32">
        <v>261048.03</v>
      </c>
      <c r="P8" s="33">
        <f>+C8+G8+I8+K8+O8+E8</f>
        <v>981559.99</v>
      </c>
      <c r="Q8" s="33">
        <f>+B8+D8+F8+H8+J8+N8-P8+L8</f>
        <v>1323148.01</v>
      </c>
      <c r="R8" s="154"/>
    </row>
    <row r="9" spans="1:17" ht="17.25">
      <c r="A9" s="30" t="s">
        <v>126</v>
      </c>
      <c r="B9" s="31">
        <v>598019</v>
      </c>
      <c r="C9" s="32">
        <f>41751.17+440311.43</f>
        <v>482062.6</v>
      </c>
      <c r="D9" s="66">
        <v>0</v>
      </c>
      <c r="E9" s="32">
        <v>0</v>
      </c>
      <c r="F9" s="66">
        <v>0</v>
      </c>
      <c r="G9" s="32">
        <v>0</v>
      </c>
      <c r="H9" s="66">
        <v>0</v>
      </c>
      <c r="I9" s="32">
        <v>0</v>
      </c>
      <c r="J9" s="66">
        <v>0</v>
      </c>
      <c r="K9" s="32">
        <v>0</v>
      </c>
      <c r="L9" s="66">
        <v>0</v>
      </c>
      <c r="M9" s="32">
        <v>0</v>
      </c>
      <c r="N9" s="66">
        <v>0</v>
      </c>
      <c r="O9" s="32">
        <v>0</v>
      </c>
      <c r="P9" s="33">
        <f>+C9+G9+I9+K9+O9+E9</f>
        <v>482062.6</v>
      </c>
      <c r="Q9" s="33">
        <f>+B9+D9+F9+H9+J9+N9-P9</f>
        <v>115956.40000000002</v>
      </c>
    </row>
    <row r="10" spans="1:17" ht="10.5" customHeight="1">
      <c r="A10" s="30"/>
      <c r="B10" s="31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3"/>
      <c r="Q10" s="33"/>
    </row>
    <row r="11" spans="1:17" ht="18" thickBot="1">
      <c r="A11" s="37" t="s">
        <v>11</v>
      </c>
      <c r="B11" s="38">
        <f>SUM(B8:B9)</f>
        <v>1646901.47</v>
      </c>
      <c r="C11" s="39">
        <f>SUM(C8:C9)</f>
        <v>978304.6499999999</v>
      </c>
      <c r="D11" s="38">
        <f>SUM(D8:D9)</f>
        <v>74000</v>
      </c>
      <c r="E11" s="39">
        <f>SUM(E8:E9)</f>
        <v>4479.96</v>
      </c>
      <c r="F11" s="38">
        <f>SUM(F8:F10)</f>
        <v>408500</v>
      </c>
      <c r="G11" s="39">
        <f aca="true" t="shared" si="0" ref="G11:Q11">SUM(G8:G9)</f>
        <v>14079.14</v>
      </c>
      <c r="H11" s="38">
        <f t="shared" si="0"/>
        <v>334416</v>
      </c>
      <c r="I11" s="39">
        <f t="shared" si="0"/>
        <v>194727.6</v>
      </c>
      <c r="J11" s="38">
        <f t="shared" si="0"/>
        <v>170000</v>
      </c>
      <c r="K11" s="39">
        <f t="shared" si="0"/>
        <v>10983.21</v>
      </c>
      <c r="L11" s="38">
        <f t="shared" si="0"/>
        <v>0</v>
      </c>
      <c r="M11" s="39">
        <f t="shared" si="0"/>
        <v>0</v>
      </c>
      <c r="N11" s="38">
        <f t="shared" si="0"/>
        <v>268909.53</v>
      </c>
      <c r="O11" s="39">
        <f t="shared" si="0"/>
        <v>261048.03</v>
      </c>
      <c r="P11" s="40">
        <f t="shared" si="0"/>
        <v>1463622.5899999999</v>
      </c>
      <c r="Q11" s="40">
        <f t="shared" si="0"/>
        <v>1439104.4100000001</v>
      </c>
    </row>
    <row r="12" spans="1:17" ht="17.25" thickBot="1">
      <c r="A12" s="41" t="s">
        <v>30</v>
      </c>
      <c r="B12" s="84"/>
      <c r="C12" s="89">
        <f>+C11/B11</f>
        <v>0.59402743140426</v>
      </c>
      <c r="D12" s="89"/>
      <c r="E12" s="161">
        <f>+E11/D11</f>
        <v>0.060540000000000004</v>
      </c>
      <c r="F12" s="161"/>
      <c r="G12" s="89">
        <f>+G11/F11</f>
        <v>0.03446545899632803</v>
      </c>
      <c r="H12" s="89"/>
      <c r="I12" s="89">
        <f>+I11/H11</f>
        <v>0.5822915171522893</v>
      </c>
      <c r="J12" s="85"/>
      <c r="K12" s="161">
        <f>+K11/J11</f>
        <v>0.06460711764705881</v>
      </c>
      <c r="L12" s="86"/>
      <c r="M12" s="142"/>
      <c r="N12" s="43"/>
      <c r="O12" s="136">
        <f>+O11/N11</f>
        <v>0.9707652607179819</v>
      </c>
      <c r="P12" s="56"/>
      <c r="Q12" s="90"/>
    </row>
    <row r="13" spans="1:18" ht="16.5">
      <c r="A13" s="47"/>
      <c r="B13" s="4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135"/>
      <c r="Q13" s="5"/>
      <c r="R13" s="5"/>
    </row>
    <row r="40" spans="1:8" ht="16.5">
      <c r="A40" s="51"/>
      <c r="B40" s="51"/>
      <c r="C40" s="51"/>
      <c r="D40" s="51"/>
      <c r="G40" s="51"/>
      <c r="H40" s="51"/>
    </row>
    <row r="42" spans="3:8" ht="16.5">
      <c r="C42" s="50"/>
      <c r="D42" s="5"/>
      <c r="G42" s="51"/>
      <c r="H42" s="51"/>
    </row>
    <row r="43" spans="4:8" ht="16.5">
      <c r="D43" s="5"/>
      <c r="H43" s="51"/>
    </row>
    <row r="44" spans="1:8" ht="16.5">
      <c r="A44" s="60" t="s">
        <v>26</v>
      </c>
      <c r="B44" s="69" t="s">
        <v>27</v>
      </c>
      <c r="C44" s="87" t="s">
        <v>28</v>
      </c>
      <c r="D44" s="5"/>
      <c r="H44" s="51"/>
    </row>
    <row r="45" spans="1:8" ht="17.25">
      <c r="A45" s="62">
        <f>+B11</f>
        <v>1646901.47</v>
      </c>
      <c r="B45" s="63">
        <f>+C11</f>
        <v>978304.6499999999</v>
      </c>
      <c r="C45" s="87" t="s">
        <v>1</v>
      </c>
      <c r="D45" s="5"/>
      <c r="H45" s="51"/>
    </row>
    <row r="46" spans="1:8" ht="17.25">
      <c r="A46" s="62">
        <f>+D11</f>
        <v>74000</v>
      </c>
      <c r="B46" s="63">
        <f>+E11</f>
        <v>4479.96</v>
      </c>
      <c r="C46" s="87" t="s">
        <v>2</v>
      </c>
      <c r="D46" s="5"/>
      <c r="H46" s="51"/>
    </row>
    <row r="47" spans="1:8" ht="17.25">
      <c r="A47" s="62">
        <f>+F11</f>
        <v>408500</v>
      </c>
      <c r="B47" s="63">
        <f>+G11</f>
        <v>14079.14</v>
      </c>
      <c r="C47" s="87" t="s">
        <v>3</v>
      </c>
      <c r="D47" s="5"/>
      <c r="H47" s="51"/>
    </row>
    <row r="48" spans="1:3" ht="17.25">
      <c r="A48" s="62">
        <f>+H11</f>
        <v>334416</v>
      </c>
      <c r="B48" s="63">
        <f>+I11</f>
        <v>194727.6</v>
      </c>
      <c r="C48" s="60" t="s">
        <v>34</v>
      </c>
    </row>
    <row r="49" spans="1:3" ht="17.25">
      <c r="A49" s="62">
        <f>+J11</f>
        <v>170000</v>
      </c>
      <c r="B49" s="63">
        <f>+K11</f>
        <v>10983.21</v>
      </c>
      <c r="C49" s="60" t="s">
        <v>32</v>
      </c>
    </row>
    <row r="50" spans="1:3" ht="17.25">
      <c r="A50" s="64">
        <f>+L11</f>
        <v>0</v>
      </c>
      <c r="B50" s="63">
        <f>+M11</f>
        <v>0</v>
      </c>
      <c r="C50" s="60" t="s">
        <v>93</v>
      </c>
    </row>
    <row r="51" spans="1:3" ht="17.25">
      <c r="A51" s="62">
        <f>+N11</f>
        <v>268909.53</v>
      </c>
      <c r="B51" s="63">
        <f>+O11</f>
        <v>261048.03</v>
      </c>
      <c r="C51" s="60" t="s">
        <v>35</v>
      </c>
    </row>
    <row r="52" spans="1:3" ht="17.25">
      <c r="A52" s="62">
        <v>565834</v>
      </c>
      <c r="B52" s="63">
        <v>158443.27</v>
      </c>
      <c r="C52" s="91"/>
    </row>
    <row r="53" ht="16.5">
      <c r="C53" s="91"/>
    </row>
    <row r="54" ht="16.5">
      <c r="C54" s="91"/>
    </row>
  </sheetData>
  <sheetProtection/>
  <mergeCells count="9">
    <mergeCell ref="N6:O6"/>
    <mergeCell ref="B6:C6"/>
    <mergeCell ref="D6:E6"/>
    <mergeCell ref="F6:G6"/>
    <mergeCell ref="H6:I6"/>
    <mergeCell ref="B2:E2"/>
    <mergeCell ref="I2:J2"/>
    <mergeCell ref="B3:C3"/>
    <mergeCell ref="J6:K6"/>
  </mergeCells>
  <printOptions/>
  <pageMargins left="0.91" right="0.63" top="0.83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N14" sqref="N14"/>
    </sheetView>
  </sheetViews>
  <sheetFormatPr defaultColWidth="11.421875" defaultRowHeight="15"/>
  <cols>
    <col min="1" max="1" width="12.57421875" style="1" customWidth="1"/>
    <col min="2" max="2" width="8.7109375" style="1" customWidth="1"/>
    <col min="3" max="3" width="10.710937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7109375" style="1" customWidth="1"/>
    <col min="12" max="12" width="7.28125" style="1" customWidth="1"/>
    <col min="13" max="13" width="9.8515625" style="1" customWidth="1"/>
    <col min="14" max="14" width="11.00390625" style="1" customWidth="1"/>
    <col min="15" max="15" width="11.140625" style="1" customWidth="1"/>
    <col min="16" max="16384" width="11.421875" style="1" customWidth="1"/>
  </cols>
  <sheetData>
    <row r="2" spans="1:12" ht="18">
      <c r="A2" s="141" t="s">
        <v>0</v>
      </c>
      <c r="B2" s="182" t="s">
        <v>108</v>
      </c>
      <c r="C2" s="199"/>
      <c r="D2" s="187"/>
      <c r="E2" s="187"/>
      <c r="I2" s="191" t="s">
        <v>23</v>
      </c>
      <c r="J2" s="191"/>
      <c r="K2" s="146">
        <v>41426</v>
      </c>
      <c r="L2" s="19"/>
    </row>
    <row r="3" spans="2:4" ht="16.5">
      <c r="B3" s="197"/>
      <c r="C3" s="198"/>
      <c r="D3" s="92"/>
    </row>
    <row r="5" ht="17.25" thickBot="1"/>
    <row r="6" spans="1:15" ht="17.25">
      <c r="A6" s="24"/>
      <c r="B6" s="189" t="s">
        <v>1</v>
      </c>
      <c r="C6" s="190"/>
      <c r="D6" s="189" t="s">
        <v>2</v>
      </c>
      <c r="E6" s="190"/>
      <c r="F6" s="189" t="s">
        <v>3</v>
      </c>
      <c r="G6" s="190"/>
      <c r="H6" s="189" t="s">
        <v>4</v>
      </c>
      <c r="I6" s="190"/>
      <c r="J6" s="189" t="s">
        <v>32</v>
      </c>
      <c r="K6" s="190"/>
      <c r="L6" s="189" t="s">
        <v>33</v>
      </c>
      <c r="M6" s="190"/>
      <c r="N6" s="25" t="s">
        <v>5</v>
      </c>
      <c r="O6" s="25" t="s">
        <v>38</v>
      </c>
    </row>
    <row r="7" spans="1:15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8" t="s">
        <v>25</v>
      </c>
      <c r="O7" s="29" t="s">
        <v>39</v>
      </c>
    </row>
    <row r="8" spans="1:15" ht="16.5">
      <c r="A8" s="93"/>
      <c r="B8" s="94"/>
      <c r="C8" s="32"/>
      <c r="D8" s="35"/>
      <c r="E8" s="32"/>
      <c r="F8" s="35"/>
      <c r="G8" s="32"/>
      <c r="H8" s="35"/>
      <c r="I8" s="32"/>
      <c r="J8" s="35"/>
      <c r="K8" s="32"/>
      <c r="L8" s="35"/>
      <c r="M8" s="32"/>
      <c r="N8" s="33"/>
      <c r="O8" s="33"/>
    </row>
    <row r="9" spans="1:15" ht="17.25">
      <c r="A9" s="30" t="s">
        <v>89</v>
      </c>
      <c r="B9" s="55">
        <v>581329</v>
      </c>
      <c r="C9" s="32">
        <f>25035.89+237527.01</f>
        <v>262562.9</v>
      </c>
      <c r="D9" s="74">
        <v>2500</v>
      </c>
      <c r="E9" s="32">
        <v>16</v>
      </c>
      <c r="F9" s="74">
        <v>92100</v>
      </c>
      <c r="G9" s="32">
        <f>7500+45431.07</f>
        <v>52931.07</v>
      </c>
      <c r="H9" s="74">
        <v>0</v>
      </c>
      <c r="I9" s="32">
        <v>0</v>
      </c>
      <c r="J9" s="74">
        <v>0</v>
      </c>
      <c r="K9" s="32">
        <v>0</v>
      </c>
      <c r="L9" s="74">
        <v>50000</v>
      </c>
      <c r="M9" s="32">
        <v>69608.48</v>
      </c>
      <c r="N9" s="33">
        <f>+M9+K9+I9+G9+E9+C9</f>
        <v>385118.45</v>
      </c>
      <c r="O9" s="33">
        <f>+B9+D9+F9+H9+J9+L9-N9</f>
        <v>340810.55</v>
      </c>
    </row>
    <row r="10" spans="1:15" ht="16.5" hidden="1">
      <c r="A10" s="93"/>
      <c r="B10" s="94"/>
      <c r="C10" s="32"/>
      <c r="D10" s="35"/>
      <c r="E10" s="32"/>
      <c r="F10" s="35"/>
      <c r="G10" s="32"/>
      <c r="H10" s="35"/>
      <c r="I10" s="32"/>
      <c r="J10" s="35"/>
      <c r="K10" s="32"/>
      <c r="L10" s="35"/>
      <c r="M10" s="32"/>
      <c r="N10" s="33"/>
      <c r="O10" s="33"/>
    </row>
    <row r="11" spans="1:15" ht="16.5">
      <c r="A11" s="93"/>
      <c r="B11" s="94"/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3"/>
      <c r="O11" s="33"/>
    </row>
    <row r="12" spans="1:15" ht="18" thickBot="1">
      <c r="A12" s="37" t="s">
        <v>11</v>
      </c>
      <c r="B12" s="38">
        <f>SUM(B9:B11)</f>
        <v>581329</v>
      </c>
      <c r="C12" s="39">
        <f>SUM(C9)</f>
        <v>262562.9</v>
      </c>
      <c r="D12" s="38">
        <f>SUM(D9:D11)</f>
        <v>2500</v>
      </c>
      <c r="E12" s="39">
        <f>SUM(E9)</f>
        <v>16</v>
      </c>
      <c r="F12" s="38">
        <f>SUM(F9:F11)</f>
        <v>92100</v>
      </c>
      <c r="G12" s="39">
        <f>SUM(G9)</f>
        <v>52931.07</v>
      </c>
      <c r="H12" s="95">
        <f>SUM(H9:H11)</f>
        <v>0</v>
      </c>
      <c r="I12" s="39">
        <v>0</v>
      </c>
      <c r="J12" s="38">
        <f>SUM(J9:J11)</f>
        <v>0</v>
      </c>
      <c r="K12" s="39">
        <f>SUM(K9)</f>
        <v>0</v>
      </c>
      <c r="L12" s="38">
        <f>SUM(L9:L11)</f>
        <v>50000</v>
      </c>
      <c r="M12" s="39">
        <f>SUM(M9)</f>
        <v>69608.48</v>
      </c>
      <c r="N12" s="40">
        <f>SUM(N9)</f>
        <v>385118.45</v>
      </c>
      <c r="O12" s="40">
        <f>SUM(O9)</f>
        <v>340810.55</v>
      </c>
    </row>
    <row r="13" spans="1:15" ht="17.25" thickBot="1">
      <c r="A13" s="41" t="s">
        <v>30</v>
      </c>
      <c r="B13" s="84"/>
      <c r="C13" s="89">
        <f>+C12/B12</f>
        <v>0.45165973140854837</v>
      </c>
      <c r="D13" s="85"/>
      <c r="E13" s="161">
        <f>+E12/D12</f>
        <v>0.0064</v>
      </c>
      <c r="F13" s="85"/>
      <c r="G13" s="89">
        <f>+G12/F12</f>
        <v>0.5747130293159609</v>
      </c>
      <c r="H13" s="85"/>
      <c r="I13" s="85"/>
      <c r="J13" s="85"/>
      <c r="K13" s="45"/>
      <c r="L13" s="43"/>
      <c r="M13" s="136">
        <f>+M12/L12</f>
        <v>1.3921696</v>
      </c>
      <c r="N13" s="56"/>
      <c r="O13" s="5"/>
    </row>
    <row r="14" spans="1:14" ht="16.5">
      <c r="A14" s="47"/>
      <c r="B14" s="47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35"/>
    </row>
    <row r="33" spans="5:10" ht="16.5">
      <c r="E33" s="59"/>
      <c r="F33" s="59"/>
      <c r="J33" s="59"/>
    </row>
    <row r="44" spans="1:8" ht="16.5">
      <c r="A44" s="51"/>
      <c r="B44" s="51"/>
      <c r="C44" s="51"/>
      <c r="D44" s="51"/>
      <c r="G44" s="51"/>
      <c r="H44" s="51"/>
    </row>
    <row r="46" spans="3:8" ht="16.5">
      <c r="C46" s="5"/>
      <c r="D46" s="5"/>
      <c r="G46" s="51"/>
      <c r="H46" s="51"/>
    </row>
    <row r="47" spans="4:8" ht="16.5">
      <c r="D47" s="5"/>
      <c r="H47" s="51"/>
    </row>
    <row r="48" spans="1:8" ht="16.5">
      <c r="A48" s="69" t="s">
        <v>26</v>
      </c>
      <c r="B48" s="69" t="s">
        <v>27</v>
      </c>
      <c r="C48" s="87" t="s">
        <v>28</v>
      </c>
      <c r="D48" s="5"/>
      <c r="H48" s="51"/>
    </row>
    <row r="49" spans="1:8" ht="17.25">
      <c r="A49" s="63">
        <f>+B12</f>
        <v>581329</v>
      </c>
      <c r="B49" s="63">
        <f>+C12</f>
        <v>262562.9</v>
      </c>
      <c r="C49" s="87" t="s">
        <v>1</v>
      </c>
      <c r="D49" s="5"/>
      <c r="H49" s="51"/>
    </row>
    <row r="50" spans="1:8" ht="17.25">
      <c r="A50" s="63">
        <f>+D12</f>
        <v>2500</v>
      </c>
      <c r="B50" s="63">
        <f>+E12</f>
        <v>16</v>
      </c>
      <c r="C50" s="87" t="s">
        <v>2</v>
      </c>
      <c r="D50" s="5"/>
      <c r="H50" s="51"/>
    </row>
    <row r="51" spans="1:8" ht="17.25">
      <c r="A51" s="63">
        <f>+F12</f>
        <v>92100</v>
      </c>
      <c r="B51" s="63">
        <f>+G12</f>
        <v>52931.07</v>
      </c>
      <c r="C51" s="87" t="s">
        <v>3</v>
      </c>
      <c r="D51" s="5"/>
      <c r="H51" s="51"/>
    </row>
    <row r="52" spans="1:3" ht="17.25">
      <c r="A52" s="63">
        <f>+J12</f>
        <v>0</v>
      </c>
      <c r="B52" s="63">
        <f>+K12</f>
        <v>0</v>
      </c>
      <c r="C52" s="60" t="s">
        <v>32</v>
      </c>
    </row>
    <row r="53" spans="1:3" ht="17.25">
      <c r="A53" s="63">
        <f>+L12</f>
        <v>50000</v>
      </c>
      <c r="B53" s="63">
        <f>+M12</f>
        <v>69608.48</v>
      </c>
      <c r="C53" s="60" t="s">
        <v>35</v>
      </c>
    </row>
    <row r="54" spans="1:2" ht="17.25">
      <c r="A54" s="62"/>
      <c r="B54" s="62"/>
    </row>
    <row r="55" spans="1:2" ht="17.25">
      <c r="A55" s="62">
        <v>167558</v>
      </c>
      <c r="B55" s="63">
        <v>40952.32</v>
      </c>
    </row>
    <row r="56" spans="1:2" ht="17.25">
      <c r="A56" s="62"/>
      <c r="B56" s="62"/>
    </row>
  </sheetData>
  <sheetProtection/>
  <mergeCells count="9">
    <mergeCell ref="I2:J2"/>
    <mergeCell ref="L6:M6"/>
    <mergeCell ref="J6:K6"/>
    <mergeCell ref="H6:I6"/>
    <mergeCell ref="B2:E2"/>
    <mergeCell ref="F6:G6"/>
    <mergeCell ref="B3:C3"/>
    <mergeCell ref="D6:E6"/>
    <mergeCell ref="B6:C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13.8515625" style="1" customWidth="1"/>
    <col min="2" max="2" width="12.8515625" style="1" customWidth="1"/>
    <col min="3" max="3" width="11.7109375" style="1" customWidth="1"/>
    <col min="4" max="4" width="9.140625" style="1" customWidth="1"/>
    <col min="5" max="5" width="11.421875" style="1" customWidth="1"/>
    <col min="6" max="6" width="11.8515625" style="1" customWidth="1"/>
    <col min="7" max="7" width="11.00390625" style="1" customWidth="1"/>
    <col min="8" max="8" width="7.8515625" style="1" customWidth="1"/>
    <col min="9" max="9" width="9.421875" style="1" customWidth="1"/>
    <col min="10" max="10" width="9.28125" style="1" customWidth="1"/>
    <col min="11" max="11" width="9.7109375" style="1" customWidth="1"/>
    <col min="12" max="12" width="9.421875" style="1" customWidth="1"/>
    <col min="13" max="13" width="9.57421875" style="1" customWidth="1"/>
    <col min="14" max="14" width="9.140625" style="1" customWidth="1"/>
    <col min="15" max="15" width="10.8515625" style="1" customWidth="1"/>
    <col min="16" max="16" width="12.00390625" style="1" customWidth="1"/>
    <col min="17" max="17" width="11.8515625" style="1" customWidth="1"/>
    <col min="18" max="18" width="13.8515625" style="1" bestFit="1" customWidth="1"/>
    <col min="19" max="16384" width="11.421875" style="1" customWidth="1"/>
  </cols>
  <sheetData>
    <row r="1" spans="1:15" ht="18">
      <c r="A1" s="141" t="s">
        <v>0</v>
      </c>
      <c r="B1" s="182" t="s">
        <v>109</v>
      </c>
      <c r="C1" s="194"/>
      <c r="D1" s="194"/>
      <c r="E1" s="194"/>
      <c r="F1" s="195"/>
      <c r="L1" s="191" t="s">
        <v>23</v>
      </c>
      <c r="M1" s="192"/>
      <c r="N1" s="146">
        <v>41426</v>
      </c>
      <c r="O1" s="22"/>
    </row>
    <row r="2" spans="2:4" ht="4.5" customHeight="1">
      <c r="B2" s="197"/>
      <c r="C2" s="198"/>
      <c r="D2" s="198"/>
    </row>
    <row r="3" ht="17.25" thickBot="1"/>
    <row r="4" spans="1:17" ht="17.25">
      <c r="A4" s="24"/>
      <c r="B4" s="189" t="s">
        <v>1</v>
      </c>
      <c r="C4" s="190"/>
      <c r="D4" s="189" t="s">
        <v>2</v>
      </c>
      <c r="E4" s="190"/>
      <c r="F4" s="189" t="s">
        <v>3</v>
      </c>
      <c r="G4" s="190"/>
      <c r="H4" s="189" t="s">
        <v>34</v>
      </c>
      <c r="I4" s="190"/>
      <c r="J4" s="189" t="s">
        <v>32</v>
      </c>
      <c r="K4" s="190"/>
      <c r="L4" s="189" t="s">
        <v>36</v>
      </c>
      <c r="M4" s="190"/>
      <c r="N4" s="189" t="s">
        <v>33</v>
      </c>
      <c r="O4" s="190"/>
      <c r="P4" s="25" t="s">
        <v>5</v>
      </c>
      <c r="Q4" s="25" t="s">
        <v>38</v>
      </c>
    </row>
    <row r="5" spans="1:17" ht="17.25">
      <c r="A5" s="26"/>
      <c r="B5" s="27" t="s">
        <v>31</v>
      </c>
      <c r="C5" s="27" t="s">
        <v>37</v>
      </c>
      <c r="D5" s="27" t="s">
        <v>31</v>
      </c>
      <c r="E5" s="27" t="s">
        <v>37</v>
      </c>
      <c r="F5" s="27" t="s">
        <v>31</v>
      </c>
      <c r="G5" s="27" t="s">
        <v>37</v>
      </c>
      <c r="H5" s="27" t="s">
        <v>31</v>
      </c>
      <c r="I5" s="27" t="s">
        <v>37</v>
      </c>
      <c r="J5" s="27" t="s">
        <v>31</v>
      </c>
      <c r="K5" s="27" t="s">
        <v>37</v>
      </c>
      <c r="L5" s="27" t="s">
        <v>31</v>
      </c>
      <c r="M5" s="27" t="s">
        <v>37</v>
      </c>
      <c r="N5" s="27" t="s">
        <v>31</v>
      </c>
      <c r="O5" s="27" t="s">
        <v>37</v>
      </c>
      <c r="P5" s="121" t="s">
        <v>25</v>
      </c>
      <c r="Q5" s="29" t="s">
        <v>39</v>
      </c>
    </row>
    <row r="6" spans="1:18" ht="17.25">
      <c r="A6" s="30" t="s">
        <v>14</v>
      </c>
      <c r="B6" s="163">
        <f>2107336-147909.53</f>
        <v>1959426.47</v>
      </c>
      <c r="C6" s="174">
        <f>80051.75+712320.01+6644.19+69219.94+31293.81+73437.29</f>
        <v>972966.99</v>
      </c>
      <c r="D6" s="96">
        <v>132534</v>
      </c>
      <c r="E6" s="177">
        <f>101351.53+896862.48</f>
        <v>998214.01</v>
      </c>
      <c r="F6" s="66">
        <v>487224</v>
      </c>
      <c r="G6" s="174">
        <f>7596.84+169970.64-20+8800</f>
        <v>186347.48</v>
      </c>
      <c r="H6" s="66">
        <f>138092-3000</f>
        <v>135092</v>
      </c>
      <c r="I6" s="174">
        <f>36480+57508.58</f>
        <v>93988.58</v>
      </c>
      <c r="J6" s="66">
        <v>12096</v>
      </c>
      <c r="K6" s="174">
        <v>7889.56</v>
      </c>
      <c r="L6" s="66">
        <v>112000</v>
      </c>
      <c r="M6" s="174">
        <f>370+17636.95</f>
        <v>18006.95</v>
      </c>
      <c r="N6" s="66">
        <f>1500000+1124847.42</f>
        <v>2624847.42</v>
      </c>
      <c r="O6" s="174">
        <f>31891.45+585996.91</f>
        <v>617888.36</v>
      </c>
      <c r="P6" s="80">
        <f aca="true" t="shared" si="0" ref="P6:P11">+O6+M6+K6+I6+G6+E6+C6</f>
        <v>2895301.9299999997</v>
      </c>
      <c r="Q6" s="80">
        <f aca="true" t="shared" si="1" ref="Q6:Q12">+B6+D6+F6+H6+J6+L6+N6-P6</f>
        <v>2567917.96</v>
      </c>
      <c r="R6" s="5"/>
    </row>
    <row r="7" spans="1:17" ht="17.25">
      <c r="A7" s="30" t="s">
        <v>110</v>
      </c>
      <c r="B7" s="31">
        <f>2581333-260000</f>
        <v>2321333</v>
      </c>
      <c r="C7" s="174">
        <f>84937.5+562645.24+89878.67+209376.37+114981.76+213394.76</f>
        <v>1275214.3</v>
      </c>
      <c r="D7" s="66">
        <v>190136</v>
      </c>
      <c r="E7" s="174">
        <f>6965.63+50637.33</f>
        <v>57602.96</v>
      </c>
      <c r="F7" s="66">
        <v>380876</v>
      </c>
      <c r="G7" s="174">
        <f>82775.99+264360.47-3342.51+19170.28</f>
        <v>362964.23</v>
      </c>
      <c r="H7" s="66">
        <v>55000</v>
      </c>
      <c r="I7" s="174">
        <v>12400</v>
      </c>
      <c r="J7" s="66">
        <v>30240</v>
      </c>
      <c r="K7" s="174">
        <f>17899.28+8518.5</f>
        <v>26417.78</v>
      </c>
      <c r="L7" s="66">
        <f>457000-14000</f>
        <v>443000</v>
      </c>
      <c r="M7" s="174">
        <f>8532.14+36950.28</f>
        <v>45482.42</v>
      </c>
      <c r="N7" s="66">
        <v>0</v>
      </c>
      <c r="O7" s="174">
        <v>208205.97</v>
      </c>
      <c r="P7" s="80">
        <f>+O7+M7+K7+I7+G7+E7+C7</f>
        <v>1988287.6600000001</v>
      </c>
      <c r="Q7" s="80">
        <f t="shared" si="1"/>
        <v>1432297.3399999999</v>
      </c>
    </row>
    <row r="8" spans="1:18" ht="17.25">
      <c r="A8" s="30" t="s">
        <v>111</v>
      </c>
      <c r="B8" s="31">
        <v>10474251</v>
      </c>
      <c r="C8" s="174">
        <f>1275144.62+3787462.66</f>
        <v>5062607.28</v>
      </c>
      <c r="D8" s="66">
        <f>2188687-36000</f>
        <v>2152687</v>
      </c>
      <c r="E8" s="174">
        <f>90139.07+350831.33</f>
        <v>440970.4</v>
      </c>
      <c r="F8" s="66">
        <f>2714120-648000</f>
        <v>2066120</v>
      </c>
      <c r="G8" s="174">
        <f>105144.59+913147.21</f>
        <v>1018291.7999999999</v>
      </c>
      <c r="H8" s="66">
        <v>0</v>
      </c>
      <c r="I8" s="174">
        <v>0</v>
      </c>
      <c r="J8" s="66">
        <f>1921850+168000</f>
        <v>2089850</v>
      </c>
      <c r="K8" s="174">
        <v>31750</v>
      </c>
      <c r="L8" s="66">
        <v>0</v>
      </c>
      <c r="M8" s="174">
        <v>0</v>
      </c>
      <c r="N8" s="66">
        <v>0</v>
      </c>
      <c r="O8" s="174">
        <v>897173.51</v>
      </c>
      <c r="P8" s="80">
        <f t="shared" si="0"/>
        <v>7450792.99</v>
      </c>
      <c r="Q8" s="80">
        <f t="shared" si="1"/>
        <v>9332115.01</v>
      </c>
      <c r="R8" s="154"/>
    </row>
    <row r="9" spans="1:17" ht="17.25">
      <c r="A9" s="30" t="s">
        <v>40</v>
      </c>
      <c r="B9" s="31">
        <v>4768632</v>
      </c>
      <c r="C9" s="174">
        <f>627905.53+1469058.09+6532.04+12259.61</f>
        <v>2115755.27</v>
      </c>
      <c r="D9" s="66">
        <v>1191341</v>
      </c>
      <c r="E9" s="174">
        <f>108685.48+326914.03</f>
        <v>435599.51</v>
      </c>
      <c r="F9" s="66">
        <v>493153</v>
      </c>
      <c r="G9" s="174">
        <v>427571.69</v>
      </c>
      <c r="H9" s="66">
        <v>0</v>
      </c>
      <c r="I9" s="174">
        <v>0</v>
      </c>
      <c r="J9" s="66">
        <v>15000</v>
      </c>
      <c r="K9" s="174">
        <v>5874.4</v>
      </c>
      <c r="L9" s="66">
        <v>0</v>
      </c>
      <c r="M9" s="174">
        <f>38111.35+50856.77</f>
        <v>88968.12</v>
      </c>
      <c r="N9" s="66">
        <v>0</v>
      </c>
      <c r="O9" s="174">
        <f>1600+220654.08</f>
        <v>222254.08</v>
      </c>
      <c r="P9" s="80">
        <f t="shared" si="0"/>
        <v>3296023.0700000003</v>
      </c>
      <c r="Q9" s="80">
        <f t="shared" si="1"/>
        <v>3172102.9299999997</v>
      </c>
    </row>
    <row r="10" spans="1:17" ht="17.25">
      <c r="A10" s="30" t="s">
        <v>112</v>
      </c>
      <c r="B10" s="31">
        <v>224426</v>
      </c>
      <c r="C10" s="174">
        <f>23158.38+40301.94</f>
        <v>63460.32000000001</v>
      </c>
      <c r="D10" s="96">
        <v>394054</v>
      </c>
      <c r="E10" s="177">
        <f>50824.46+115880.26</f>
        <v>166704.72</v>
      </c>
      <c r="F10" s="96">
        <v>26800</v>
      </c>
      <c r="G10" s="177">
        <f>5800+4665</f>
        <v>10465</v>
      </c>
      <c r="H10" s="96">
        <v>0</v>
      </c>
      <c r="I10" s="177">
        <v>0</v>
      </c>
      <c r="J10" s="96">
        <v>115000</v>
      </c>
      <c r="K10" s="177">
        <v>0</v>
      </c>
      <c r="L10" s="96">
        <v>1763400</v>
      </c>
      <c r="M10" s="177">
        <v>2846</v>
      </c>
      <c r="N10" s="96">
        <v>0</v>
      </c>
      <c r="O10" s="177">
        <v>9983.91</v>
      </c>
      <c r="P10" s="80">
        <f t="shared" si="0"/>
        <v>253459.95</v>
      </c>
      <c r="Q10" s="80">
        <f t="shared" si="1"/>
        <v>2270220.05</v>
      </c>
    </row>
    <row r="11" spans="1:17" ht="17.25">
      <c r="A11" s="30" t="s">
        <v>113</v>
      </c>
      <c r="B11" s="31">
        <v>1038817</v>
      </c>
      <c r="C11" s="174">
        <f>110204.17+334385.28</f>
        <v>444589.45</v>
      </c>
      <c r="D11" s="66">
        <v>639137</v>
      </c>
      <c r="E11" s="174">
        <f>36945.62+98914.5</f>
        <v>135860.12</v>
      </c>
      <c r="F11" s="66">
        <v>2736000</v>
      </c>
      <c r="G11" s="174">
        <f>16540+1620204.49</f>
        <v>1636744.49</v>
      </c>
      <c r="H11" s="96">
        <v>0</v>
      </c>
      <c r="I11" s="174">
        <v>2700</v>
      </c>
      <c r="J11" s="96">
        <v>0</v>
      </c>
      <c r="K11" s="174">
        <v>4118</v>
      </c>
      <c r="L11" s="96">
        <v>0</v>
      </c>
      <c r="M11" s="174">
        <v>1854</v>
      </c>
      <c r="N11" s="96">
        <v>0</v>
      </c>
      <c r="O11" s="174">
        <v>371209.1</v>
      </c>
      <c r="P11" s="80">
        <f t="shared" si="0"/>
        <v>2597075.16</v>
      </c>
      <c r="Q11" s="80">
        <f t="shared" si="1"/>
        <v>1816878.8399999999</v>
      </c>
    </row>
    <row r="12" spans="1:17" ht="17.25">
      <c r="A12" s="30" t="s">
        <v>78</v>
      </c>
      <c r="B12" s="31">
        <v>7668013</v>
      </c>
      <c r="C12" s="174">
        <f>1098641.13+2393442.65+104147.66+215908.55+18353.28+39603.87+5832.14+13328.98</f>
        <v>3889258.26</v>
      </c>
      <c r="D12" s="66">
        <v>525165</v>
      </c>
      <c r="E12" s="174">
        <f>19387.06+135439.03</f>
        <v>154826.09</v>
      </c>
      <c r="F12" s="174">
        <f>712987-15937.89</f>
        <v>697049.11</v>
      </c>
      <c r="G12" s="174">
        <f>9117.79+503564.8+500+7300</f>
        <v>520482.58999999997</v>
      </c>
      <c r="H12" s="66">
        <v>2400</v>
      </c>
      <c r="I12" s="174">
        <v>0</v>
      </c>
      <c r="J12" s="66">
        <v>686879</v>
      </c>
      <c r="K12" s="174">
        <f>39310.98+418500.22</f>
        <v>457811.19999999995</v>
      </c>
      <c r="L12" s="66">
        <v>941000</v>
      </c>
      <c r="M12" s="174">
        <f>14526.9+279794.26</f>
        <v>294321.16000000003</v>
      </c>
      <c r="N12" s="66">
        <v>0</v>
      </c>
      <c r="O12" s="174">
        <v>463189.63</v>
      </c>
      <c r="P12" s="80">
        <f>+O12+M12+K12+I12+G12+E12+C12</f>
        <v>5779888.93</v>
      </c>
      <c r="Q12" s="80">
        <f t="shared" si="1"/>
        <v>4740617.18</v>
      </c>
    </row>
    <row r="13" spans="1:17" ht="18" thickBot="1">
      <c r="A13" s="37" t="s">
        <v>11</v>
      </c>
      <c r="B13" s="164">
        <f aca="true" t="shared" si="2" ref="B13:Q13">SUM(B6:B12)</f>
        <v>28454898.47</v>
      </c>
      <c r="C13" s="178">
        <f t="shared" si="2"/>
        <v>13823851.87</v>
      </c>
      <c r="D13" s="38">
        <f t="shared" si="2"/>
        <v>5225054</v>
      </c>
      <c r="E13" s="178">
        <f t="shared" si="2"/>
        <v>2389777.81</v>
      </c>
      <c r="F13" s="164">
        <f t="shared" si="2"/>
        <v>6887222.11</v>
      </c>
      <c r="G13" s="178">
        <f t="shared" si="2"/>
        <v>4162867.2799999993</v>
      </c>
      <c r="H13" s="38">
        <f t="shared" si="2"/>
        <v>192492</v>
      </c>
      <c r="I13" s="178">
        <f t="shared" si="2"/>
        <v>109088.58</v>
      </c>
      <c r="J13" s="38">
        <f t="shared" si="2"/>
        <v>2949065</v>
      </c>
      <c r="K13" s="178">
        <f t="shared" si="2"/>
        <v>533860.94</v>
      </c>
      <c r="L13" s="38">
        <f t="shared" si="2"/>
        <v>3259400</v>
      </c>
      <c r="M13" s="178">
        <f t="shared" si="2"/>
        <v>451478.65</v>
      </c>
      <c r="N13" s="38">
        <f t="shared" si="2"/>
        <v>2624847.42</v>
      </c>
      <c r="O13" s="178">
        <f t="shared" si="2"/>
        <v>2789904.5599999996</v>
      </c>
      <c r="P13" s="180">
        <f t="shared" si="2"/>
        <v>24260829.689999998</v>
      </c>
      <c r="Q13" s="180">
        <f t="shared" si="2"/>
        <v>25332149.31</v>
      </c>
    </row>
    <row r="14" spans="1:17" ht="17.25" thickBot="1">
      <c r="A14" s="37" t="s">
        <v>30</v>
      </c>
      <c r="B14" s="84"/>
      <c r="C14" s="89">
        <f>+C13/B13</f>
        <v>0.48581624301258663</v>
      </c>
      <c r="D14" s="89"/>
      <c r="E14" s="89">
        <f>+E13/D13</f>
        <v>0.45736901666470814</v>
      </c>
      <c r="F14" s="89"/>
      <c r="G14" s="89">
        <f>+G13/F13</f>
        <v>0.6044334295471123</v>
      </c>
      <c r="H14" s="89"/>
      <c r="I14" s="89">
        <f>+I13/H13</f>
        <v>0.5667174739729444</v>
      </c>
      <c r="J14" s="89"/>
      <c r="K14" s="161">
        <f>+K13/J13</f>
        <v>0.18102718658286607</v>
      </c>
      <c r="L14" s="144"/>
      <c r="M14" s="142">
        <f>+M13/L13</f>
        <v>0.13851587715530467</v>
      </c>
      <c r="N14" s="43"/>
      <c r="O14" s="136">
        <f>+O13/N13</f>
        <v>1.0628825655702303</v>
      </c>
      <c r="P14" s="56"/>
      <c r="Q14" s="5"/>
    </row>
    <row r="15" spans="1:17" ht="16.5">
      <c r="A15" s="47"/>
      <c r="B15" s="4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5"/>
      <c r="Q15" s="5"/>
    </row>
    <row r="16" spans="16:17" ht="16.5">
      <c r="P16" s="50"/>
      <c r="Q16" s="5"/>
    </row>
    <row r="33" ht="16.5">
      <c r="J33" s="59"/>
    </row>
    <row r="38" spans="1:6" ht="16.5">
      <c r="A38" s="51"/>
      <c r="B38" s="51"/>
      <c r="C38" s="51"/>
      <c r="D38" s="51"/>
      <c r="E38" s="51"/>
      <c r="F38" s="51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1:6" ht="16.5">
      <c r="A43" s="76"/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7" ht="16.5">
      <c r="C47" s="46"/>
    </row>
    <row r="49" spans="1:4" ht="16.5">
      <c r="A49" s="60" t="s">
        <v>26</v>
      </c>
      <c r="B49" s="69" t="s">
        <v>27</v>
      </c>
      <c r="C49" s="60" t="s">
        <v>28</v>
      </c>
      <c r="D49" s="60"/>
    </row>
    <row r="50" spans="1:3" ht="17.25">
      <c r="A50" s="62">
        <f>+B13</f>
        <v>28454898.47</v>
      </c>
      <c r="B50" s="63">
        <f>+C13</f>
        <v>13823851.87</v>
      </c>
      <c r="C50" s="60" t="s">
        <v>1</v>
      </c>
    </row>
    <row r="51" spans="1:3" ht="17.25">
      <c r="A51" s="62">
        <f>+D13</f>
        <v>5225054</v>
      </c>
      <c r="B51" s="63">
        <f>+E13</f>
        <v>2389777.81</v>
      </c>
      <c r="C51" s="60" t="s">
        <v>2</v>
      </c>
    </row>
    <row r="52" spans="1:3" ht="17.25">
      <c r="A52" s="62">
        <f>+F13</f>
        <v>6887222.11</v>
      </c>
      <c r="B52" s="63">
        <f>+G13</f>
        <v>4162867.2799999993</v>
      </c>
      <c r="C52" s="60" t="s">
        <v>3</v>
      </c>
    </row>
    <row r="53" spans="1:3" ht="17.25">
      <c r="A53" s="64">
        <f>+H13</f>
        <v>192492</v>
      </c>
      <c r="B53" s="63">
        <f>+I13</f>
        <v>109088.58</v>
      </c>
      <c r="C53" s="60" t="s">
        <v>34</v>
      </c>
    </row>
    <row r="54" spans="1:3" ht="17.25">
      <c r="A54" s="64">
        <f>+J13</f>
        <v>2949065</v>
      </c>
      <c r="B54" s="63">
        <f>+K13</f>
        <v>533860.94</v>
      </c>
      <c r="C54" s="60" t="s">
        <v>32</v>
      </c>
    </row>
    <row r="55" spans="1:3" ht="17.25">
      <c r="A55" s="62">
        <f>+L13</f>
        <v>3259400</v>
      </c>
      <c r="B55" s="63">
        <f>+M13</f>
        <v>451478.65</v>
      </c>
      <c r="C55" s="60" t="s">
        <v>29</v>
      </c>
    </row>
    <row r="56" spans="1:3" ht="17.25">
      <c r="A56" s="62">
        <f>+N13</f>
        <v>2624847.42</v>
      </c>
      <c r="B56" s="63">
        <f>+O13</f>
        <v>2789904.5599999996</v>
      </c>
      <c r="C56" s="60" t="s">
        <v>35</v>
      </c>
    </row>
    <row r="57" spans="1:2" ht="17.25">
      <c r="A57" s="62"/>
      <c r="B57" s="62"/>
    </row>
    <row r="58" spans="1:2" ht="17.25">
      <c r="A58" s="62">
        <v>4568329</v>
      </c>
      <c r="B58" s="63">
        <v>1360852.79</v>
      </c>
    </row>
  </sheetData>
  <sheetProtection/>
  <mergeCells count="10">
    <mergeCell ref="L1:M1"/>
    <mergeCell ref="B1:F1"/>
    <mergeCell ref="N4:O4"/>
    <mergeCell ref="B4:C4"/>
    <mergeCell ref="D4:E4"/>
    <mergeCell ref="F4:G4"/>
    <mergeCell ref="H4:I4"/>
    <mergeCell ref="B2:D2"/>
    <mergeCell ref="J4:K4"/>
    <mergeCell ref="L4:M4"/>
  </mergeCells>
  <printOptions/>
  <pageMargins left="0.5118110236220472" right="0" top="0.9055118110236221" bottom="0.2362204724409449" header="0.35433070866141736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contaduria-219</cp:lastModifiedBy>
  <cp:lastPrinted>2013-07-31T16:23:33Z</cp:lastPrinted>
  <dcterms:created xsi:type="dcterms:W3CDTF">2000-04-26T12:06:38Z</dcterms:created>
  <dcterms:modified xsi:type="dcterms:W3CDTF">2013-07-31T16:24:16Z</dcterms:modified>
  <cp:category/>
  <cp:version/>
  <cp:contentType/>
  <cp:contentStatus/>
</cp:coreProperties>
</file>