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0" windowWidth="11745" windowHeight="6510" tabRatio="603" activeTab="10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</sheets>
  <definedNames/>
  <calcPr fullCalcOnLoad="1"/>
</workbook>
</file>

<file path=xl/sharedStrings.xml><?xml version="1.0" encoding="utf-8"?>
<sst xmlns="http://schemas.openxmlformats.org/spreadsheetml/2006/main" count="547" uniqueCount="131">
  <si>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</si>
  <si>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</si>
  <si>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</si>
  <si>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</si>
  <si>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</si>
  <si>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</si>
  <si>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</si>
  <si>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</si>
  <si>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</si>
  <si>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</si>
  <si>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</si>
  <si>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</si>
  <si>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</si>
  <si>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</si>
  <si>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</si>
  <si>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</si>
  <si>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</si>
  <si>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</si>
  <si>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</si>
  <si>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</si>
  <si>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</si>
  <si>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</si>
  <si>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</si>
  <si>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</si>
  <si>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</si>
  <si>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</si>
  <si>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</si>
  <si>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</si>
  <si>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</si>
  <si>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</si>
  <si>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</si>
  <si>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</si>
  <si>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</si>
  <si>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</si>
  <si>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</si>
  <si>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</si>
  <si>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</si>
  <si>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</si>
  <si>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</si>
  <si>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</si>
  <si>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</si>
  <si>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</si>
  <si>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</si>
  <si>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</si>
  <si>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</si>
  <si>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</si>
  <si>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</si>
  <si>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</si>
  <si>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</si>
  <si>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</si>
  <si>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</si>
  <si>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</si>
  <si>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</si>
  <si>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</si>
  <si>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</si>
  <si>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</si>
  <si>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</si>
  <si>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</si>
  <si>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</si>
  <si>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</si>
  <si>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</si>
  <si>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</si>
  <si>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</si>
  <si>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</si>
  <si>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</si>
  <si>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</si>
  <si>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</si>
  <si>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</si>
  <si>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</si>
  <si>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</si>
  <si>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</si>
  <si>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</si>
  <si>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</si>
  <si>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</si>
  <si>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</si>
  <si>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</si>
  <si>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</si>
  <si>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</si>
  <si>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Dir.Planeam.</t>
  </si>
  <si>
    <t>Dir.Obr.Infraest.</t>
  </si>
  <si>
    <t>BS.CAP+BS.PREEX.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</si>
  <si>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</si>
  <si>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</si>
  <si>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</si>
  <si>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</si>
  <si>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</si>
  <si>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</si>
  <si>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</si>
  <si>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Privada</t>
  </si>
  <si>
    <t xml:space="preserve">                    TRANSF. CTES.</t>
  </si>
  <si>
    <t>TRAB.PUBLICOS</t>
  </si>
  <si>
    <t>Presidencia</t>
  </si>
  <si>
    <t>SFOI</t>
  </si>
  <si>
    <t>Unid.Des.Económico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</si>
  <si>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</si>
  <si>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</si>
  <si>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</si>
  <si>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</si>
  <si>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</si>
  <si>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</si>
  <si>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</si>
  <si>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</si>
  <si>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</si>
  <si>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</si>
  <si>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</si>
  <si>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</si>
  <si>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</si>
  <si>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</si>
  <si>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</si>
  <si>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</si>
  <si>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</si>
  <si>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</si>
  <si>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</si>
  <si>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</si>
  <si>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</si>
  <si>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</si>
  <si>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</si>
  <si>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</si>
  <si>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</si>
  <si>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</si>
  <si>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>Bloque Frente p/la Victoria</t>
  </si>
  <si>
    <t>Parque Industrial</t>
  </si>
  <si>
    <t>Asuntos Vecinales</t>
  </si>
  <si>
    <t>Coord.Legal Seg. Vial</t>
  </si>
  <si>
    <t>Deleg.Las Perlas</t>
  </si>
  <si>
    <t>Dir.Prot.Ciudadana</t>
  </si>
  <si>
    <t>Dir.Proy.Urbanist.</t>
  </si>
  <si>
    <t>Dir.Prom.Comunit.</t>
  </si>
  <si>
    <t>Prevenc.del Delito</t>
  </si>
  <si>
    <t>CULT</t>
  </si>
  <si>
    <t>DEP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</si>
</sst>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0.000000000"/>
    <numFmt numFmtId="181" formatCode="0.00000000"/>
    <numFmt numFmtId="182" formatCode="#,##0.000"/>
    <numFmt numFmtId="183" formatCode="#,##0.0000"/>
    <numFmt numFmtId="184" formatCode="#,##0.00000"/>
    <numFmt numFmtId="185" formatCode="0.0000%"/>
    <numFmt numFmtId="186" formatCode="0.000%"/>
    <numFmt numFmtId="187" formatCode="0.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_);\(0\)"/>
    <numFmt numFmtId="194" formatCode="&quot;$&quot;\ #,##0"/>
    <numFmt numFmtId="195" formatCode="0.00000%"/>
    <numFmt numFmtId="196" formatCode="0.000000%"/>
  </numFmts>
  <fonts count="103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i/>
      <sz val="9"/>
      <name val="Trebuchet MS"/>
      <family val="2"/>
    </font>
    <font>
      <sz val="8.5"/>
      <name val="Trebuchet MS"/>
      <family val="2"/>
    </font>
    <font>
      <b/>
      <sz val="8.5"/>
      <name val="Trebuchet MS"/>
      <family val="2"/>
    </font>
    <font>
      <b/>
      <i/>
      <sz val="8.5"/>
      <name val="Trebuchet MS"/>
      <family val="2"/>
    </font>
    <font>
      <i/>
      <sz val="8.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.5"/>
      <color indexed="8"/>
      <name val="Garamond"/>
      <family val="1"/>
    </font>
    <font>
      <b/>
      <sz val="4.5"/>
      <color indexed="8"/>
      <name val="Trebuchet MS"/>
      <family val="2"/>
    </font>
    <font>
      <b/>
      <sz val="6"/>
      <color indexed="8"/>
      <name val="Trebuchet MS"/>
      <family val="2"/>
    </font>
    <font>
      <b/>
      <i/>
      <u val="single"/>
      <sz val="11.5"/>
      <color indexed="8"/>
      <name val="Trebuchet MS"/>
      <family val="2"/>
    </font>
    <font>
      <b/>
      <i/>
      <sz val="7.35"/>
      <color indexed="8"/>
      <name val="Trebuchet MS"/>
      <family val="2"/>
    </font>
    <font>
      <sz val="19"/>
      <color indexed="8"/>
      <name val="Garamond"/>
      <family val="1"/>
    </font>
    <font>
      <b/>
      <sz val="3.75"/>
      <color indexed="8"/>
      <name val="Trebuchet MS"/>
      <family val="2"/>
    </font>
    <font>
      <b/>
      <sz val="5"/>
      <color indexed="8"/>
      <name val="Trebuchet MS"/>
      <family val="2"/>
    </font>
    <font>
      <b/>
      <i/>
      <u val="single"/>
      <sz val="10.5"/>
      <color indexed="8"/>
      <name val="Trebuchet MS"/>
      <family val="2"/>
    </font>
    <font>
      <b/>
      <i/>
      <sz val="8.25"/>
      <color indexed="8"/>
      <name val="Trebuchet MS"/>
      <family val="2"/>
    </font>
    <font>
      <sz val="18.25"/>
      <color indexed="8"/>
      <name val="Garamond"/>
      <family val="1"/>
    </font>
    <font>
      <b/>
      <sz val="4.25"/>
      <color indexed="8"/>
      <name val="Trebuchet MS"/>
      <family val="2"/>
    </font>
    <font>
      <b/>
      <sz val="6.25"/>
      <color indexed="8"/>
      <name val="Trebuchet MS"/>
      <family val="2"/>
    </font>
    <font>
      <b/>
      <i/>
      <u val="single"/>
      <sz val="11"/>
      <color indexed="8"/>
      <name val="Trebuchet MS"/>
      <family val="2"/>
    </font>
    <font>
      <sz val="20.75"/>
      <color indexed="8"/>
      <name val="Garamond"/>
      <family val="1"/>
    </font>
    <font>
      <b/>
      <sz val="6.5"/>
      <color indexed="8"/>
      <name val="Trebuchet MS"/>
      <family val="2"/>
    </font>
    <font>
      <b/>
      <i/>
      <u val="single"/>
      <sz val="11.75"/>
      <color indexed="8"/>
      <name val="Trebuchet MS"/>
      <family val="2"/>
    </font>
    <font>
      <sz val="19.25"/>
      <color indexed="8"/>
      <name val="Garamond"/>
      <family val="1"/>
    </font>
    <font>
      <b/>
      <sz val="5.25"/>
      <color indexed="8"/>
      <name val="Trebuchet MS"/>
      <family val="2"/>
    </font>
    <font>
      <b/>
      <i/>
      <u val="single"/>
      <sz val="10.25"/>
      <color indexed="8"/>
      <name val="Trebuchet MS"/>
      <family val="2"/>
    </font>
    <font>
      <sz val="18.75"/>
      <color indexed="8"/>
      <name val="Garamond"/>
      <family val="1"/>
    </font>
    <font>
      <sz val="19.5"/>
      <color indexed="8"/>
      <name val="Garamond"/>
      <family val="1"/>
    </font>
    <font>
      <b/>
      <sz val="5.5"/>
      <color indexed="8"/>
      <name val="Trebuchet MS"/>
      <family val="2"/>
    </font>
    <font>
      <b/>
      <i/>
      <u val="single"/>
      <sz val="9.75"/>
      <color indexed="8"/>
      <name val="Trebuchet MS"/>
      <family val="2"/>
    </font>
    <font>
      <sz val="21.5"/>
      <color indexed="8"/>
      <name val="Garamond"/>
      <family val="1"/>
    </font>
    <font>
      <b/>
      <sz val="4.75"/>
      <color indexed="8"/>
      <name val="Trebuchet MS"/>
      <family val="2"/>
    </font>
    <font>
      <b/>
      <sz val="5.75"/>
      <color indexed="8"/>
      <name val="Trebuchet MS"/>
      <family val="2"/>
    </font>
    <font>
      <sz val="21.75"/>
      <color indexed="8"/>
      <name val="Garamond"/>
      <family val="1"/>
    </font>
    <font>
      <b/>
      <i/>
      <u val="single"/>
      <sz val="11.25"/>
      <color indexed="8"/>
      <name val="Trebuchet MS"/>
      <family val="2"/>
    </font>
    <font>
      <sz val="21"/>
      <color indexed="8"/>
      <name val="Garamond"/>
      <family val="1"/>
    </font>
    <font>
      <b/>
      <i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u val="single"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slantDashDot"/>
      <right style="slantDashDot"/>
      <top style="thin"/>
      <bottom style="slantDashDot"/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2" fillId="0" borderId="8" applyNumberFormat="0" applyFill="0" applyAlignment="0" applyProtection="0"/>
    <xf numFmtId="0" fontId="102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3" fontId="11" fillId="0" borderId="3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11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9" fontId="4" fillId="0" borderId="0" xfId="52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3" fontId="12" fillId="0" borderId="0" xfId="46" applyFont="1" applyAlignment="1">
      <alignment/>
    </xf>
    <xf numFmtId="17" fontId="10" fillId="0" borderId="0" xfId="0" applyNumberFormat="1" applyFont="1" applyAlignment="1">
      <alignment/>
    </xf>
    <xf numFmtId="3" fontId="12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1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17" fontId="1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30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" fontId="11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2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4" fontId="12" fillId="0" borderId="43" xfId="0" applyNumberFormat="1" applyFont="1" applyBorder="1" applyAlignment="1">
      <alignment/>
    </xf>
    <xf numFmtId="10" fontId="12" fillId="0" borderId="43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1" fillId="0" borderId="50" xfId="0" applyFont="1" applyBorder="1" applyAlignment="1">
      <alignment/>
    </xf>
    <xf numFmtId="4" fontId="12" fillId="0" borderId="51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0" fontId="3" fillId="0" borderId="53" xfId="0" applyFont="1" applyBorder="1" applyAlignment="1">
      <alignment/>
    </xf>
    <xf numFmtId="9" fontId="4" fillId="0" borderId="54" xfId="52" applyFont="1" applyBorder="1" applyAlignment="1">
      <alignment/>
    </xf>
    <xf numFmtId="9" fontId="4" fillId="0" borderId="55" xfId="52" applyFont="1" applyBorder="1" applyAlignment="1">
      <alignment/>
    </xf>
    <xf numFmtId="3" fontId="2" fillId="0" borderId="56" xfId="0" applyNumberFormat="1" applyFont="1" applyBorder="1" applyAlignment="1">
      <alignment/>
    </xf>
    <xf numFmtId="4" fontId="1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17" fontId="20" fillId="0" borderId="0" xfId="0" applyNumberFormat="1" applyFont="1" applyFill="1" applyAlignment="1">
      <alignment horizontal="center"/>
    </xf>
    <xf numFmtId="17" fontId="21" fillId="0" borderId="0" xfId="0" applyNumberFormat="1" applyFont="1" applyAlignment="1">
      <alignment/>
    </xf>
    <xf numFmtId="0" fontId="2" fillId="0" borderId="62" xfId="0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2" fillId="0" borderId="63" xfId="0" applyNumberFormat="1" applyFont="1" applyBorder="1" applyAlignment="1">
      <alignment/>
    </xf>
    <xf numFmtId="4" fontId="12" fillId="0" borderId="64" xfId="0" applyNumberFormat="1" applyFont="1" applyBorder="1" applyAlignment="1">
      <alignment/>
    </xf>
    <xf numFmtId="4" fontId="12" fillId="0" borderId="65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0" fontId="4" fillId="0" borderId="66" xfId="52" applyNumberFormat="1" applyFont="1" applyBorder="1" applyAlignment="1">
      <alignment/>
    </xf>
    <xf numFmtId="9" fontId="4" fillId="0" borderId="67" xfId="52" applyFont="1" applyBorder="1" applyAlignment="1">
      <alignment/>
    </xf>
    <xf numFmtId="10" fontId="4" fillId="0" borderId="54" xfId="52" applyNumberFormat="1" applyFont="1" applyBorder="1" applyAlignment="1">
      <alignment/>
    </xf>
    <xf numFmtId="10" fontId="4" fillId="0" borderId="68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10" fontId="4" fillId="0" borderId="42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17" fontId="26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1" borderId="7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2" xfId="0" applyFont="1" applyFill="1" applyBorder="1" applyAlignment="1">
      <alignment horizontal="center"/>
    </xf>
    <xf numFmtId="0" fontId="2" fillId="41" borderId="73" xfId="0" applyFont="1" applyFill="1" applyBorder="1" applyAlignment="1">
      <alignment horizontal="center"/>
    </xf>
    <xf numFmtId="0" fontId="30" fillId="42" borderId="74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9" fontId="4" fillId="0" borderId="40" xfId="52" applyNumberFormat="1" applyFont="1" applyBorder="1" applyAlignment="1">
      <alignment/>
    </xf>
    <xf numFmtId="9" fontId="4" fillId="0" borderId="35" xfId="52" applyNumberFormat="1" applyFont="1" applyBorder="1" applyAlignment="1">
      <alignment/>
    </xf>
    <xf numFmtId="0" fontId="31" fillId="0" borderId="0" xfId="0" applyFont="1" applyAlignment="1">
      <alignment/>
    </xf>
    <xf numFmtId="4" fontId="11" fillId="0" borderId="3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31" xfId="0" applyNumberFormat="1" applyFont="1" applyFill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4" fillId="0" borderId="0" xfId="52" applyNumberFormat="1" applyFont="1" applyBorder="1" applyAlignment="1">
      <alignment/>
    </xf>
    <xf numFmtId="4" fontId="11" fillId="0" borderId="0" xfId="52" applyNumberFormat="1" applyFont="1" applyBorder="1" applyAlignment="1">
      <alignment/>
    </xf>
    <xf numFmtId="1" fontId="4" fillId="0" borderId="0" xfId="52" applyNumberFormat="1" applyFont="1" applyBorder="1" applyAlignment="1">
      <alignment/>
    </xf>
    <xf numFmtId="4" fontId="4" fillId="0" borderId="0" xfId="52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76" xfId="0" applyNumberFormat="1" applyFont="1" applyBorder="1" applyAlignment="1">
      <alignment/>
    </xf>
    <xf numFmtId="4" fontId="11" fillId="0" borderId="77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32" fillId="0" borderId="29" xfId="0" applyFont="1" applyBorder="1" applyAlignment="1">
      <alignment/>
    </xf>
    <xf numFmtId="4" fontId="32" fillId="0" borderId="31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32" fillId="0" borderId="31" xfId="0" applyNumberFormat="1" applyFont="1" applyFill="1" applyBorder="1" applyAlignment="1">
      <alignment/>
    </xf>
    <xf numFmtId="4" fontId="32" fillId="0" borderId="31" xfId="0" applyNumberFormat="1" applyFont="1" applyFill="1" applyBorder="1" applyAlignment="1">
      <alignment/>
    </xf>
    <xf numFmtId="4" fontId="32" fillId="0" borderId="32" xfId="0" applyNumberFormat="1" applyFont="1" applyBorder="1" applyAlignment="1">
      <alignment/>
    </xf>
    <xf numFmtId="4" fontId="32" fillId="0" borderId="30" xfId="0" applyNumberFormat="1" applyFont="1" applyBorder="1" applyAlignment="1">
      <alignment/>
    </xf>
    <xf numFmtId="4" fontId="33" fillId="0" borderId="34" xfId="0" applyNumberFormat="1" applyFont="1" applyBorder="1" applyAlignment="1">
      <alignment/>
    </xf>
    <xf numFmtId="4" fontId="32" fillId="0" borderId="35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4" fontId="32" fillId="0" borderId="36" xfId="0" applyNumberFormat="1" applyFont="1" applyBorder="1" applyAlignment="1">
      <alignment/>
    </xf>
    <xf numFmtId="4" fontId="34" fillId="0" borderId="34" xfId="0" applyNumberFormat="1" applyFont="1" applyBorder="1" applyAlignment="1">
      <alignment/>
    </xf>
    <xf numFmtId="4" fontId="35" fillId="0" borderId="35" xfId="0" applyNumberFormat="1" applyFont="1" applyBorder="1" applyAlignment="1">
      <alignment/>
    </xf>
    <xf numFmtId="3" fontId="34" fillId="0" borderId="34" xfId="0" applyNumberFormat="1" applyFont="1" applyBorder="1" applyAlignment="1">
      <alignment/>
    </xf>
    <xf numFmtId="4" fontId="34" fillId="0" borderId="36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32" fillId="0" borderId="29" xfId="0" applyFont="1" applyFill="1" applyBorder="1" applyAlignment="1">
      <alignment/>
    </xf>
    <xf numFmtId="4" fontId="32" fillId="0" borderId="30" xfId="0" applyNumberFormat="1" applyFont="1" applyFill="1" applyBorder="1" applyAlignment="1">
      <alignment/>
    </xf>
    <xf numFmtId="4" fontId="32" fillId="0" borderId="32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3" borderId="80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/>
    </xf>
    <xf numFmtId="0" fontId="2" fillId="43" borderId="8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9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  <c:max val="4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7896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395"/>
          <c:w val="0.494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25"/>
          <c:w val="0.981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CULTURA!$A$46:$A$52</c:f>
              <c:numCache/>
            </c:numRef>
          </c:val>
        </c:ser>
        <c:ser>
          <c:idx val="1"/>
          <c:order val="1"/>
          <c:tx>
            <c:strRef>
              <c:f>CULTURA!$B$45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CULTURA!$B$46:$B$52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ax val="3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89073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175"/>
          <c:w val="0.53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  <c:max val="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7214923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4525"/>
          <c:w val="0.510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-0.007"/>
          <c:y val="-0.018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7375"/>
          <c:w val="0.986"/>
          <c:h val="0.9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47537861"/>
        <c:axId val="25187566"/>
      </c:bar3D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3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  <c:max val="10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524138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35"/>
          <c:w val="0.526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3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  <c:max val="8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17663995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"/>
          <c:y val="0.93825"/>
          <c:w val="0.488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21497461"/>
        <c:axId val="59259422"/>
      </c:bar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  <c:max val="228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21497461"/>
        <c:crossesAt val="1"/>
        <c:crossBetween val="between"/>
        <c:dispUnits/>
        <c:majorUnit val="2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4025"/>
          <c:w val="0.53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63572751"/>
        <c:axId val="35283848"/>
      </c:bar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  <c:max val="10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63572751"/>
        <c:crossesAt val="1"/>
        <c:crossBetween val="between"/>
        <c:dispUnits/>
        <c:majorUnit val="1000000"/>
        <c:minorUnit val="4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355"/>
          <c:w val="0.549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  <c:max val="1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49119177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425"/>
          <c:w val="0.465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'CD'!$A$44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'CD'!$A$45:$A$51</c:f>
              <c:numCache/>
            </c:numRef>
          </c:val>
        </c:ser>
        <c:ser>
          <c:idx val="1"/>
          <c:order val="1"/>
          <c:tx>
            <c:strRef>
              <c:f>'CD'!$B$44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'CD'!$B$45:$B$51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  <c:max val="2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1923037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3325"/>
          <c:w val="0.522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4156189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5"/>
          <c:y val="0.922"/>
          <c:w val="0.621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  <c:max val="32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5800631"/>
        <c:crossesAt val="1"/>
        <c:crossBetween val="between"/>
        <c:dispUnits/>
        <c:majorUnit val="1500000"/>
        <c:minorUnit val="646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37"/>
          <c:w val="0.530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266950" y="3181350"/>
        <a:ext cx="6791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57150</xdr:rowOff>
    </xdr:from>
    <xdr:to>
      <xdr:col>13</xdr:col>
      <xdr:colOff>409575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228850" y="2676525"/>
        <a:ext cx="6667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685925" y="2724150"/>
        <a:ext cx="66389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33</xdr:row>
      <xdr:rowOff>142875</xdr:rowOff>
    </xdr:to>
    <xdr:graphicFrame>
      <xdr:nvGraphicFramePr>
        <xdr:cNvPr id="1" name="Gráfico 2"/>
        <xdr:cNvGraphicFramePr/>
      </xdr:nvGraphicFramePr>
      <xdr:xfrm>
        <a:off x="314325" y="3886200"/>
        <a:ext cx="8115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590675" y="4133850"/>
        <a:ext cx="6962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295525" y="3619500"/>
        <a:ext cx="6934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276475" y="3228975"/>
        <a:ext cx="66103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190500</xdr:rowOff>
    </xdr:from>
    <xdr:to>
      <xdr:col>12</xdr:col>
      <xdr:colOff>581025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2038350" y="3371850"/>
        <a:ext cx="6867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276475" y="3200400"/>
        <a:ext cx="6286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12</xdr:col>
      <xdr:colOff>400050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2305050" y="2914650"/>
        <a:ext cx="6381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419225" y="2990850"/>
        <a:ext cx="5743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2019300" y="3086100"/>
        <a:ext cx="6905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7">
      <selection activeCell="P18" sqref="P18"/>
    </sheetView>
  </sheetViews>
  <sheetFormatPr defaultColWidth="11.421875" defaultRowHeight="15"/>
  <cols>
    <col min="1" max="1" width="16.57421875" style="1" customWidth="1"/>
    <col min="2" max="2" width="11.8515625" style="1" customWidth="1"/>
    <col min="3" max="3" width="12.140625" style="1" customWidth="1"/>
    <col min="4" max="4" width="7.57421875" style="1" customWidth="1"/>
    <col min="5" max="5" width="10.421875" style="1" customWidth="1"/>
    <col min="6" max="6" width="9.140625" style="1" customWidth="1"/>
    <col min="7" max="7" width="12.28125" style="1" customWidth="1"/>
    <col min="8" max="8" width="9.28125" style="1" customWidth="1"/>
    <col min="9" max="9" width="12.140625" style="1" customWidth="1"/>
    <col min="10" max="10" width="8.00390625" style="1" customWidth="1"/>
    <col min="11" max="11" width="10.28125" style="1" customWidth="1"/>
    <col min="12" max="12" width="7.57421875" style="1" customWidth="1"/>
    <col min="13" max="13" width="10.57421875" style="1" customWidth="1"/>
    <col min="14" max="14" width="7.8515625" style="1" customWidth="1"/>
    <col min="15" max="15" width="10.7109375" style="1" customWidth="1"/>
    <col min="16" max="16" width="13.421875" style="1" customWidth="1"/>
    <col min="17" max="17" width="13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97</v>
      </c>
      <c r="C2" s="196"/>
      <c r="D2" s="197"/>
      <c r="E2" s="197"/>
      <c r="L2" s="175" t="s">
        <v>23</v>
      </c>
      <c r="M2" s="142">
        <v>41609</v>
      </c>
      <c r="O2" s="22"/>
    </row>
    <row r="3" spans="2:5" ht="16.5">
      <c r="B3" s="198"/>
      <c r="C3" s="198"/>
      <c r="E3" s="21"/>
    </row>
    <row r="4" spans="3:5" ht="17.25" thickBot="1">
      <c r="C4" s="23"/>
      <c r="D4" s="23"/>
      <c r="E4" s="21"/>
    </row>
    <row r="5" spans="1:17" ht="18" thickTop="1">
      <c r="A5" s="97"/>
      <c r="B5" s="199" t="s">
        <v>1</v>
      </c>
      <c r="C5" s="200"/>
      <c r="D5" s="199" t="s">
        <v>2</v>
      </c>
      <c r="E5" s="200"/>
      <c r="F5" s="199" t="s">
        <v>3</v>
      </c>
      <c r="G5" s="200"/>
      <c r="H5" s="199" t="s">
        <v>4</v>
      </c>
      <c r="I5" s="200"/>
      <c r="J5" s="199" t="s">
        <v>32</v>
      </c>
      <c r="K5" s="200"/>
      <c r="L5" s="98" t="s">
        <v>85</v>
      </c>
      <c r="M5" s="99"/>
      <c r="N5" s="199" t="s">
        <v>33</v>
      </c>
      <c r="O5" s="200"/>
      <c r="P5" s="100" t="s">
        <v>5</v>
      </c>
      <c r="Q5" s="110" t="s">
        <v>38</v>
      </c>
    </row>
    <row r="6" spans="1:17" ht="17.25">
      <c r="A6" s="101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6" t="s">
        <v>25</v>
      </c>
      <c r="Q6" s="111" t="s">
        <v>39</v>
      </c>
    </row>
    <row r="7" spans="1:18" ht="17.25">
      <c r="A7" s="102" t="s">
        <v>14</v>
      </c>
      <c r="B7" s="157">
        <f>751626-98609.3+238000</f>
        <v>891016.7</v>
      </c>
      <c r="C7" s="32">
        <f>286006.21+3158279.26-C8-C9-C10</f>
        <v>1025848.8399999996</v>
      </c>
      <c r="D7" s="31">
        <v>50500</v>
      </c>
      <c r="E7" s="32">
        <f>1882.6+114430.79-E8-E9-E10</f>
        <v>84863.09999999999</v>
      </c>
      <c r="F7" s="31">
        <f>627700-43860</f>
        <v>583840</v>
      </c>
      <c r="G7" s="32">
        <f>27367.29+2429943.11-G8-G9-G10</f>
        <v>2036309.7099999997</v>
      </c>
      <c r="H7" s="75">
        <f>172635+200000-25700</f>
        <v>346935</v>
      </c>
      <c r="I7" s="76">
        <f>18152+4098600.49-I8-I9</f>
        <v>3082070.8000000003</v>
      </c>
      <c r="J7" s="75">
        <v>14500</v>
      </c>
      <c r="K7" s="76">
        <f>2198.99+180260.69-K8-K9</f>
        <v>176592.08</v>
      </c>
      <c r="L7" s="31">
        <v>0</v>
      </c>
      <c r="M7" s="32">
        <f>26000+234352-M9-M10</f>
        <v>72700</v>
      </c>
      <c r="N7" s="31">
        <v>943969.46</v>
      </c>
      <c r="O7" s="32">
        <f>7866.9+581978.48-O8-O9</f>
        <v>433916.12</v>
      </c>
      <c r="P7" s="103">
        <f>+O7+K7+I7+G7+E7+C7+M7</f>
        <v>6912300.649999999</v>
      </c>
      <c r="Q7" s="128">
        <f>+B7+D7+F7+H7+J7+N7+L7-P7</f>
        <v>-4081539.4899999993</v>
      </c>
      <c r="R7" s="5"/>
    </row>
    <row r="8" spans="1:18" ht="17.25">
      <c r="A8" s="102" t="s">
        <v>128</v>
      </c>
      <c r="B8" s="157">
        <f>1531124-369903.16+300000</f>
        <v>1461220.84</v>
      </c>
      <c r="C8" s="32">
        <f>21924.62+775203.27</f>
        <v>797127.89</v>
      </c>
      <c r="D8" s="31">
        <v>9000</v>
      </c>
      <c r="E8" s="32">
        <v>4493.38</v>
      </c>
      <c r="F8" s="31">
        <v>24500</v>
      </c>
      <c r="G8" s="32">
        <v>26403.37</v>
      </c>
      <c r="H8" s="75">
        <f>180000+200000</f>
        <v>380000</v>
      </c>
      <c r="I8" s="76">
        <v>780454.59</v>
      </c>
      <c r="J8" s="75">
        <v>0</v>
      </c>
      <c r="K8" s="76">
        <v>2738.6</v>
      </c>
      <c r="L8" s="31">
        <v>0</v>
      </c>
      <c r="M8" s="32">
        <v>0</v>
      </c>
      <c r="N8" s="34">
        <v>0</v>
      </c>
      <c r="O8" s="32">
        <v>67995.62</v>
      </c>
      <c r="P8" s="103">
        <f>+O8+K8+I8+G8+E8+C8</f>
        <v>1679213.45</v>
      </c>
      <c r="Q8" s="129">
        <f>+B8+D8+F8+H8+J8+N8-P8</f>
        <v>195507.39000000013</v>
      </c>
      <c r="R8" s="5"/>
    </row>
    <row r="9" spans="1:18" ht="17.25">
      <c r="A9" s="102" t="s">
        <v>93</v>
      </c>
      <c r="B9" s="31">
        <f>1363040-100000+100000</f>
        <v>1363040</v>
      </c>
      <c r="C9" s="32">
        <f>155146.62+1415058.36</f>
        <v>1570204.98</v>
      </c>
      <c r="D9" s="31">
        <f>41807-1100</f>
        <v>40707</v>
      </c>
      <c r="E9" s="32">
        <f>649.6+24608.71</f>
        <v>25258.309999999998</v>
      </c>
      <c r="F9" s="31">
        <v>385571</v>
      </c>
      <c r="G9" s="32">
        <f>18446.16+363916.65</f>
        <v>382362.81</v>
      </c>
      <c r="H9" s="31">
        <f>463226-150000</f>
        <v>313226</v>
      </c>
      <c r="I9" s="32">
        <f>8000+246227.1</f>
        <v>254227.1</v>
      </c>
      <c r="J9" s="31">
        <v>109328</v>
      </c>
      <c r="K9" s="32">
        <v>3129</v>
      </c>
      <c r="L9" s="31">
        <f>13120-4800</f>
        <v>8320</v>
      </c>
      <c r="M9" s="36">
        <v>1729.5</v>
      </c>
      <c r="N9" s="31">
        <v>0</v>
      </c>
      <c r="O9" s="32">
        <v>87933.64</v>
      </c>
      <c r="P9" s="103">
        <f>+O9+K9+I9+G9+E9+C9+M9</f>
        <v>2324845.34</v>
      </c>
      <c r="Q9" s="129">
        <f>+B9+D9+F9+H9+J9+N9-P9+L9</f>
        <v>-104653.33999999985</v>
      </c>
      <c r="R9" s="5"/>
    </row>
    <row r="10" spans="1:18" ht="17.25">
      <c r="A10" s="102" t="s">
        <v>121</v>
      </c>
      <c r="B10" s="31">
        <v>0</v>
      </c>
      <c r="C10" s="32">
        <f>7822.15+43281.61</f>
        <v>51103.76</v>
      </c>
      <c r="D10" s="31">
        <v>18500</v>
      </c>
      <c r="E10" s="32">
        <f>369+1329.6</f>
        <v>1698.6</v>
      </c>
      <c r="F10" s="31">
        <v>333000</v>
      </c>
      <c r="G10" s="32">
        <v>12234.51</v>
      </c>
      <c r="H10" s="31">
        <v>50000</v>
      </c>
      <c r="I10" s="32">
        <v>0</v>
      </c>
      <c r="J10" s="31">
        <f>7000+2803450-2500000-7000</f>
        <v>303450</v>
      </c>
      <c r="K10" s="32">
        <v>0</v>
      </c>
      <c r="L10" s="31">
        <v>250000</v>
      </c>
      <c r="M10" s="36">
        <f>26000+159922.5</f>
        <v>185922.5</v>
      </c>
      <c r="N10" s="31">
        <v>0</v>
      </c>
      <c r="O10" s="32">
        <v>0</v>
      </c>
      <c r="P10" s="103">
        <f>+O10+K10+I10+G10+E10+C10+M10</f>
        <v>250959.37</v>
      </c>
      <c r="Q10" s="129">
        <f>+B10+D10+F10+H10+J10+N10-P10+L10</f>
        <v>703990.63</v>
      </c>
      <c r="R10" s="5"/>
    </row>
    <row r="11" spans="1:17" ht="9" customHeight="1">
      <c r="A11" s="102"/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6"/>
      <c r="N11" s="31"/>
      <c r="O11" s="32"/>
      <c r="P11" s="103"/>
      <c r="Q11" s="129"/>
    </row>
    <row r="12" spans="1:17" ht="18" thickBot="1">
      <c r="A12" s="112" t="s">
        <v>11</v>
      </c>
      <c r="B12" s="160">
        <f>SUM(B7:B10)</f>
        <v>3715277.54</v>
      </c>
      <c r="C12" s="109">
        <f aca="true" t="shared" si="0" ref="C12:P12">SUM(C7:C10)</f>
        <v>3444285.4699999993</v>
      </c>
      <c r="D12" s="108">
        <f>SUM(D7:D10)</f>
        <v>118707</v>
      </c>
      <c r="E12" s="109">
        <f t="shared" si="0"/>
        <v>116313.39</v>
      </c>
      <c r="F12" s="108">
        <f>SUM(F7:F10)</f>
        <v>1326911</v>
      </c>
      <c r="G12" s="109">
        <f t="shared" si="0"/>
        <v>2457310.3999999994</v>
      </c>
      <c r="H12" s="108">
        <f>SUM(H7:H10)</f>
        <v>1090161</v>
      </c>
      <c r="I12" s="109">
        <f t="shared" si="0"/>
        <v>4116752.49</v>
      </c>
      <c r="J12" s="108">
        <f>SUM(J7:J10)</f>
        <v>427278</v>
      </c>
      <c r="K12" s="109">
        <f t="shared" si="0"/>
        <v>182459.68</v>
      </c>
      <c r="L12" s="108">
        <f>SUM(L7:L10)</f>
        <v>258320</v>
      </c>
      <c r="M12" s="109">
        <f t="shared" si="0"/>
        <v>260352</v>
      </c>
      <c r="N12" s="108">
        <f>SUM(N7:N10)</f>
        <v>943969.46</v>
      </c>
      <c r="O12" s="109">
        <f t="shared" si="0"/>
        <v>589845.38</v>
      </c>
      <c r="P12" s="104">
        <f t="shared" si="0"/>
        <v>11167318.809999999</v>
      </c>
      <c r="Q12" s="130">
        <f>SUM(Q7:Q10)</f>
        <v>-3286694.809999999</v>
      </c>
    </row>
    <row r="13" spans="1:17" ht="18.75" thickBot="1" thickTop="1">
      <c r="A13" s="113" t="s">
        <v>30</v>
      </c>
      <c r="B13" s="105"/>
      <c r="C13" s="135">
        <f>+C12/B12</f>
        <v>0.9270600736869847</v>
      </c>
      <c r="D13" s="106"/>
      <c r="E13" s="135">
        <f>+E12/D12</f>
        <v>0.9798359827137405</v>
      </c>
      <c r="F13" s="106"/>
      <c r="G13" s="135">
        <f>+G12/F12</f>
        <v>1.8519029535515188</v>
      </c>
      <c r="H13" s="106"/>
      <c r="I13" s="135">
        <f>+I12/H12</f>
        <v>3.7762793660752862</v>
      </c>
      <c r="J13" s="106"/>
      <c r="K13" s="136">
        <f>+K12/J12</f>
        <v>0.4270280239094922</v>
      </c>
      <c r="L13" s="134"/>
      <c r="M13" s="136">
        <f>+M12/L12</f>
        <v>1.007866212449675</v>
      </c>
      <c r="N13" s="107"/>
      <c r="O13" s="137">
        <f>+O12/N12</f>
        <v>0.6248564227914747</v>
      </c>
      <c r="P13" s="46"/>
      <c r="Q13" s="5"/>
    </row>
    <row r="14" spans="1:17" ht="18" thickTop="1">
      <c r="A14" s="47"/>
      <c r="B14" s="166"/>
      <c r="C14" s="48"/>
      <c r="D14" s="168"/>
      <c r="E14" s="48"/>
      <c r="F14" s="168"/>
      <c r="G14" s="48"/>
      <c r="H14" s="169"/>
      <c r="I14" s="48"/>
      <c r="J14" s="167"/>
      <c r="K14" s="48"/>
      <c r="L14" s="170"/>
      <c r="M14" s="48"/>
      <c r="N14" s="170"/>
      <c r="O14" s="48"/>
      <c r="P14" s="49"/>
      <c r="Q14" s="5"/>
    </row>
    <row r="15" ht="16.5">
      <c r="P15" s="5"/>
    </row>
    <row r="37" spans="1:6" ht="16.5">
      <c r="A37" s="50"/>
      <c r="B37" s="50"/>
      <c r="C37" s="50"/>
      <c r="D37" s="50"/>
      <c r="E37" s="50"/>
      <c r="F37" s="50"/>
    </row>
    <row r="39" spans="3:11" ht="16.5">
      <c r="C39" s="49"/>
      <c r="D39" s="5"/>
      <c r="E39" s="50"/>
      <c r="F39" s="50"/>
      <c r="K39" s="1" t="s">
        <v>83</v>
      </c>
    </row>
    <row r="40" spans="3:6" ht="16.5">
      <c r="C40" s="5"/>
      <c r="D40" s="5"/>
      <c r="E40" s="50"/>
      <c r="F40" s="50"/>
    </row>
    <row r="41" spans="3:6" ht="16.5">
      <c r="C41" s="5"/>
      <c r="D41" s="5"/>
      <c r="E41" s="50"/>
      <c r="F41" s="50"/>
    </row>
    <row r="42" spans="3:6" ht="16.5">
      <c r="C42" s="5"/>
      <c r="D42" s="5"/>
      <c r="E42" s="50"/>
      <c r="F42" s="50"/>
    </row>
    <row r="43" spans="3:6" ht="16.5">
      <c r="C43" s="5"/>
      <c r="D43" s="5"/>
      <c r="E43" s="50"/>
      <c r="F43" s="50"/>
    </row>
    <row r="44" spans="3:6" ht="16.5">
      <c r="C44" s="5"/>
      <c r="D44" s="5"/>
      <c r="E44" s="50"/>
      <c r="F44" s="50"/>
    </row>
    <row r="46" spans="1:3" ht="17.25">
      <c r="A46" s="20" t="s">
        <v>26</v>
      </c>
      <c r="B46" s="51" t="s">
        <v>27</v>
      </c>
      <c r="C46" s="20" t="s">
        <v>28</v>
      </c>
    </row>
    <row r="47" spans="1:3" ht="17.25">
      <c r="A47" s="52">
        <f>+B12</f>
        <v>3715277.54</v>
      </c>
      <c r="B47" s="49">
        <f>+C12</f>
        <v>3444285.4699999993</v>
      </c>
      <c r="C47" s="20" t="s">
        <v>1</v>
      </c>
    </row>
    <row r="48" spans="1:3" ht="17.25">
      <c r="A48" s="52">
        <f>+D12</f>
        <v>118707</v>
      </c>
      <c r="B48" s="49">
        <f>+E12</f>
        <v>116313.39</v>
      </c>
      <c r="C48" s="20" t="s">
        <v>2</v>
      </c>
    </row>
    <row r="49" spans="1:3" ht="17.25">
      <c r="A49" s="52">
        <f>+F12</f>
        <v>1326911</v>
      </c>
      <c r="B49" s="49">
        <f>+G12</f>
        <v>2457310.3999999994</v>
      </c>
      <c r="C49" s="20" t="s">
        <v>3</v>
      </c>
    </row>
    <row r="50" spans="1:3" ht="17.25">
      <c r="A50" s="52">
        <f>+H12</f>
        <v>1090161</v>
      </c>
      <c r="B50" s="49">
        <f>+I12</f>
        <v>4116752.49</v>
      </c>
      <c r="C50" s="20" t="s">
        <v>34</v>
      </c>
    </row>
    <row r="51" spans="1:3" ht="17.25">
      <c r="A51" s="52">
        <f>+J12</f>
        <v>427278</v>
      </c>
      <c r="B51" s="49">
        <f>+K12</f>
        <v>182459.68</v>
      </c>
      <c r="C51" s="20" t="s">
        <v>32</v>
      </c>
    </row>
    <row r="52" spans="1:3" ht="17.25">
      <c r="A52" s="52">
        <f>+L12</f>
        <v>258320</v>
      </c>
      <c r="B52" s="49">
        <f>+M12</f>
        <v>260352</v>
      </c>
      <c r="C52" s="20" t="s">
        <v>90</v>
      </c>
    </row>
    <row r="53" spans="1:3" ht="17.25">
      <c r="A53" s="52">
        <f>+N12</f>
        <v>943969.46</v>
      </c>
      <c r="B53" s="49">
        <f>+O12</f>
        <v>589845.38</v>
      </c>
      <c r="C53" s="20" t="s">
        <v>35</v>
      </c>
    </row>
    <row r="55" spans="1:2" ht="16.5">
      <c r="A55" s="52"/>
      <c r="B55" s="49"/>
    </row>
  </sheetData>
  <sheetProtection/>
  <mergeCells count="8"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3937007874015748" right="0" top="0.7480314960629921" bottom="0.984251968503937" header="0.35433070866141736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7">
      <selection activeCell="O16" sqref="O16"/>
    </sheetView>
  </sheetViews>
  <sheetFormatPr defaultColWidth="11.421875" defaultRowHeight="15"/>
  <cols>
    <col min="1" max="1" width="12.140625" style="1" customWidth="1"/>
    <col min="2" max="2" width="12.28125" style="1" customWidth="1"/>
    <col min="3" max="3" width="11.00390625" style="1" customWidth="1"/>
    <col min="4" max="4" width="7.140625" style="1" customWidth="1"/>
    <col min="5" max="5" width="8.8515625" style="1" customWidth="1"/>
    <col min="6" max="6" width="9.57421875" style="1" customWidth="1"/>
    <col min="7" max="7" width="11.00390625" style="1" customWidth="1"/>
    <col min="8" max="8" width="9.57421875" style="1" customWidth="1"/>
    <col min="9" max="9" width="11.7109375" style="1" customWidth="1"/>
    <col min="10" max="10" width="7.421875" style="1" customWidth="1"/>
    <col min="11" max="11" width="9.28125" style="1" customWidth="1"/>
    <col min="12" max="12" width="7.57421875" style="1" customWidth="1"/>
    <col min="13" max="13" width="9.7109375" style="1" customWidth="1"/>
    <col min="14" max="15" width="10.28125" style="1" customWidth="1"/>
    <col min="16" max="16" width="11.421875" style="1" customWidth="1"/>
    <col min="17" max="17" width="10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111</v>
      </c>
      <c r="C2" s="213"/>
      <c r="D2" s="213"/>
      <c r="E2" s="214"/>
      <c r="F2" s="214"/>
      <c r="G2" s="209"/>
      <c r="K2" s="215" t="s">
        <v>23</v>
      </c>
      <c r="L2" s="215"/>
      <c r="M2" s="142">
        <v>41609</v>
      </c>
      <c r="O2" s="53"/>
    </row>
    <row r="3" spans="2:4" ht="16.5">
      <c r="B3" s="211"/>
      <c r="C3" s="212"/>
      <c r="D3" s="212"/>
    </row>
    <row r="4" ht="17.25" thickBot="1"/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203" t="s">
        <v>4</v>
      </c>
      <c r="I5" s="204"/>
      <c r="J5" s="203" t="s">
        <v>32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7" ht="17.25">
      <c r="A7" s="90"/>
      <c r="B7" s="150"/>
      <c r="C7" s="151"/>
      <c r="D7" s="150"/>
      <c r="E7" s="151"/>
      <c r="F7" s="150"/>
      <c r="G7" s="151"/>
      <c r="H7" s="150"/>
      <c r="I7" s="151"/>
      <c r="J7" s="150"/>
      <c r="K7" s="151"/>
      <c r="L7" s="150"/>
      <c r="M7" s="150"/>
      <c r="N7" s="150"/>
      <c r="O7" s="151"/>
      <c r="P7" s="152"/>
      <c r="Q7" s="153"/>
    </row>
    <row r="8" spans="1:18" ht="17.25">
      <c r="A8" s="30" t="s">
        <v>115</v>
      </c>
      <c r="B8" s="157">
        <f>2802541-147909.53+1200000</f>
        <v>3854631.47</v>
      </c>
      <c r="C8" s="159">
        <f>668068.54+2559267.39</f>
        <v>3227335.93</v>
      </c>
      <c r="D8" s="31">
        <v>48200</v>
      </c>
      <c r="E8" s="159">
        <v>85621.12</v>
      </c>
      <c r="F8" s="31">
        <f>1765670-33982</f>
        <v>1731688</v>
      </c>
      <c r="G8" s="159">
        <f>165674.26+2139744.76</f>
        <v>2305419.0199999996</v>
      </c>
      <c r="H8" s="31">
        <f>697982+1600000-124050</f>
        <v>2173932</v>
      </c>
      <c r="I8" s="159">
        <f>152051.23+2043032.62</f>
        <v>2195083.85</v>
      </c>
      <c r="J8" s="31">
        <v>5000</v>
      </c>
      <c r="K8" s="159">
        <v>33933</v>
      </c>
      <c r="L8" s="31">
        <v>100000</v>
      </c>
      <c r="M8" s="157">
        <f>11162.7+63062.86</f>
        <v>74225.56</v>
      </c>
      <c r="N8" s="157">
        <f>425000+185941.53</f>
        <v>610941.53</v>
      </c>
      <c r="O8" s="159">
        <f>1800+464991.8</f>
        <v>466791.8</v>
      </c>
      <c r="P8" s="78">
        <f>+C8+E8+G8+I8+K8+O8+M8</f>
        <v>8388410.279999999</v>
      </c>
      <c r="Q8" s="78">
        <f>+B8+D8+F8+H8+J8+N8+L8-P8</f>
        <v>135982.72000000067</v>
      </c>
      <c r="R8" s="5"/>
    </row>
    <row r="9" spans="1:18" ht="17.25">
      <c r="A9" s="30"/>
      <c r="B9" s="157"/>
      <c r="C9" s="159"/>
      <c r="D9" s="31"/>
      <c r="E9" s="159"/>
      <c r="F9" s="31"/>
      <c r="G9" s="159"/>
      <c r="H9" s="31"/>
      <c r="I9" s="159"/>
      <c r="J9" s="31"/>
      <c r="K9" s="159"/>
      <c r="L9" s="31"/>
      <c r="M9" s="157"/>
      <c r="N9" s="157"/>
      <c r="O9" s="159"/>
      <c r="P9" s="78"/>
      <c r="Q9" s="78"/>
      <c r="R9" s="5"/>
    </row>
    <row r="10" spans="1:18" ht="18" thickBot="1">
      <c r="A10" s="37" t="s">
        <v>11</v>
      </c>
      <c r="B10" s="158">
        <f aca="true" t="shared" si="0" ref="B10:Q10">SUM(B8:B9)</f>
        <v>3854631.47</v>
      </c>
      <c r="C10" s="163">
        <f t="shared" si="0"/>
        <v>3227335.93</v>
      </c>
      <c r="D10" s="38">
        <f t="shared" si="0"/>
        <v>48200</v>
      </c>
      <c r="E10" s="163">
        <f t="shared" si="0"/>
        <v>85621.12</v>
      </c>
      <c r="F10" s="38">
        <f t="shared" si="0"/>
        <v>1731688</v>
      </c>
      <c r="G10" s="163">
        <f t="shared" si="0"/>
        <v>2305419.0199999996</v>
      </c>
      <c r="H10" s="38">
        <f t="shared" si="0"/>
        <v>2173932</v>
      </c>
      <c r="I10" s="163">
        <f t="shared" si="0"/>
        <v>2195083.85</v>
      </c>
      <c r="J10" s="38">
        <f t="shared" si="0"/>
        <v>5000</v>
      </c>
      <c r="K10" s="163">
        <f t="shared" si="0"/>
        <v>33933</v>
      </c>
      <c r="L10" s="38">
        <f t="shared" si="0"/>
        <v>100000</v>
      </c>
      <c r="M10" s="163">
        <f t="shared" si="0"/>
        <v>74225.56</v>
      </c>
      <c r="N10" s="158">
        <f t="shared" si="0"/>
        <v>610941.53</v>
      </c>
      <c r="O10" s="163">
        <f t="shared" si="0"/>
        <v>466791.8</v>
      </c>
      <c r="P10" s="165">
        <f t="shared" si="0"/>
        <v>8388410.279999999</v>
      </c>
      <c r="Q10" s="165">
        <f t="shared" si="0"/>
        <v>135982.72000000067</v>
      </c>
      <c r="R10" s="5"/>
    </row>
    <row r="11" spans="1:17" ht="17.25" thickBot="1">
      <c r="A11" s="41" t="s">
        <v>30</v>
      </c>
      <c r="B11" s="42"/>
      <c r="C11" s="131">
        <f>+C10/B10</f>
        <v>0.8372618641024067</v>
      </c>
      <c r="D11" s="131"/>
      <c r="E11" s="131">
        <f>+E10/D10</f>
        <v>1.776371784232365</v>
      </c>
      <c r="F11" s="131"/>
      <c r="G11" s="131">
        <f>+G10/F10</f>
        <v>1.3313131580284667</v>
      </c>
      <c r="H11" s="131"/>
      <c r="I11" s="131">
        <f>+I10/H10</f>
        <v>1.009729766156439</v>
      </c>
      <c r="J11" s="131"/>
      <c r="K11" s="131">
        <f>+K10/J10</f>
        <v>6.7866</v>
      </c>
      <c r="L11" s="154"/>
      <c r="M11" s="131">
        <f>+M10/L10</f>
        <v>0.7422556</v>
      </c>
      <c r="N11" s="141"/>
      <c r="O11" s="133">
        <f>+O10/N10</f>
        <v>0.7640531492432672</v>
      </c>
      <c r="P11" s="55"/>
      <c r="Q11" s="5"/>
    </row>
    <row r="12" spans="1:17" ht="16.5">
      <c r="A12" s="47"/>
      <c r="B12" s="4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32"/>
      <c r="Q12" s="5"/>
    </row>
    <row r="13" spans="1:16" ht="16.5">
      <c r="A13" s="47"/>
      <c r="B13" s="4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30" spans="5:8" ht="16.5">
      <c r="E30" s="56"/>
      <c r="F30" s="56"/>
      <c r="G30" s="57"/>
      <c r="H30" s="57"/>
    </row>
    <row r="31" spans="5:8" ht="16.5">
      <c r="E31" s="58"/>
      <c r="F31" s="58"/>
      <c r="G31" s="58"/>
      <c r="H31" s="58"/>
    </row>
    <row r="36" spans="1:6" ht="16.5">
      <c r="A36" s="50"/>
      <c r="B36" s="50"/>
      <c r="C36" s="50"/>
      <c r="D36" s="50"/>
      <c r="E36" s="50"/>
      <c r="F36" s="50"/>
    </row>
    <row r="37" ht="16.5">
      <c r="C37" s="46"/>
    </row>
    <row r="38" spans="3:6" ht="16.5">
      <c r="C38" s="49"/>
      <c r="D38" s="5"/>
      <c r="E38" s="50"/>
      <c r="F38" s="50"/>
    </row>
    <row r="39" spans="3:6" ht="16.5">
      <c r="C39" s="49"/>
      <c r="D39" s="5"/>
      <c r="E39" s="50"/>
      <c r="F39" s="50"/>
    </row>
    <row r="40" spans="3:6" ht="16.5">
      <c r="C40" s="49"/>
      <c r="D40" s="5"/>
      <c r="E40" s="50"/>
      <c r="F40" s="50"/>
    </row>
    <row r="41" spans="3:6" ht="16.5">
      <c r="C41" s="49"/>
      <c r="D41" s="5"/>
      <c r="E41" s="50"/>
      <c r="F41" s="50"/>
    </row>
    <row r="42" spans="3:6" ht="16.5">
      <c r="C42" s="49"/>
      <c r="D42" s="5"/>
      <c r="E42" s="50"/>
      <c r="F42" s="50"/>
    </row>
    <row r="43" spans="3:6" ht="16.5">
      <c r="C43" s="49"/>
      <c r="D43" s="5"/>
      <c r="E43" s="50"/>
      <c r="F43" s="50"/>
    </row>
    <row r="45" spans="1:5" ht="16.5">
      <c r="A45" s="59" t="s">
        <v>26</v>
      </c>
      <c r="B45" s="59" t="s">
        <v>27</v>
      </c>
      <c r="C45" s="59" t="s">
        <v>28</v>
      </c>
      <c r="D45" s="59"/>
      <c r="E45" s="60"/>
    </row>
    <row r="46" spans="1:3" ht="17.25">
      <c r="A46" s="61">
        <f>+B10</f>
        <v>3854631.47</v>
      </c>
      <c r="B46" s="62">
        <f>+C10</f>
        <v>3227335.93</v>
      </c>
      <c r="C46" s="59" t="s">
        <v>1</v>
      </c>
    </row>
    <row r="47" spans="1:3" ht="17.25">
      <c r="A47" s="61">
        <f>+D10</f>
        <v>48200</v>
      </c>
      <c r="B47" s="62">
        <f>+E10</f>
        <v>85621.12</v>
      </c>
      <c r="C47" s="59" t="s">
        <v>2</v>
      </c>
    </row>
    <row r="48" spans="1:3" ht="17.25">
      <c r="A48" s="61">
        <f>+F10</f>
        <v>1731688</v>
      </c>
      <c r="B48" s="62">
        <f>+G10</f>
        <v>2305419.0199999996</v>
      </c>
      <c r="C48" s="59" t="s">
        <v>3</v>
      </c>
    </row>
    <row r="49" spans="1:3" ht="17.25">
      <c r="A49" s="61">
        <f>+H10</f>
        <v>2173932</v>
      </c>
      <c r="B49" s="62">
        <f>+I10</f>
        <v>2195083.85</v>
      </c>
      <c r="C49" s="59" t="s">
        <v>34</v>
      </c>
    </row>
    <row r="50" spans="1:3" ht="17.25">
      <c r="A50" s="61">
        <f>+J10</f>
        <v>5000</v>
      </c>
      <c r="B50" s="62">
        <f>+K10</f>
        <v>33933</v>
      </c>
      <c r="C50" s="59" t="s">
        <v>32</v>
      </c>
    </row>
    <row r="51" spans="1:3" ht="17.25">
      <c r="A51" s="63">
        <f>+L10</f>
        <v>100000</v>
      </c>
      <c r="B51" s="62">
        <f>+M10</f>
        <v>74225.56</v>
      </c>
      <c r="C51" s="59" t="s">
        <v>94</v>
      </c>
    </row>
    <row r="52" spans="1:3" ht="17.25">
      <c r="A52" s="61">
        <f>+N10</f>
        <v>610941.53</v>
      </c>
      <c r="B52" s="62">
        <f>+O10</f>
        <v>466791.8</v>
      </c>
      <c r="C52" s="59" t="s">
        <v>35</v>
      </c>
    </row>
    <row r="53" spans="1:3" ht="17.25">
      <c r="A53" s="61"/>
      <c r="B53" s="61"/>
      <c r="C53" s="59"/>
    </row>
    <row r="54" spans="1:2" ht="16.5">
      <c r="A54" s="1">
        <v>2809993</v>
      </c>
      <c r="B54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PageLayoutView="0" workbookViewId="0" topLeftCell="A17">
      <selection activeCell="P20" sqref="P20"/>
    </sheetView>
  </sheetViews>
  <sheetFormatPr defaultColWidth="11.421875" defaultRowHeight="15"/>
  <cols>
    <col min="1" max="1" width="13.28125" style="1" customWidth="1"/>
    <col min="2" max="2" width="11.8515625" style="1" customWidth="1"/>
    <col min="3" max="3" width="10.7109375" style="1" customWidth="1"/>
    <col min="4" max="4" width="6.8515625" style="1" customWidth="1"/>
    <col min="5" max="5" width="9.28125" style="1" customWidth="1"/>
    <col min="6" max="6" width="9.421875" style="1" customWidth="1"/>
    <col min="7" max="7" width="11.00390625" style="1" customWidth="1"/>
    <col min="8" max="8" width="9.140625" style="1" customWidth="1"/>
    <col min="9" max="9" width="11.140625" style="1" customWidth="1"/>
    <col min="10" max="10" width="6.8515625" style="1" customWidth="1"/>
    <col min="11" max="11" width="9.00390625" style="1" customWidth="1"/>
    <col min="12" max="12" width="7.8515625" style="1" customWidth="1"/>
    <col min="13" max="13" width="9.57421875" style="1" customWidth="1"/>
    <col min="14" max="14" width="10.421875" style="1" customWidth="1"/>
    <col min="15" max="15" width="10.57421875" style="1" customWidth="1"/>
    <col min="16" max="16" width="10.7109375" style="1" customWidth="1"/>
    <col min="17" max="17" width="10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112</v>
      </c>
      <c r="C2" s="213"/>
      <c r="D2" s="213"/>
      <c r="E2" s="214"/>
      <c r="F2" s="214"/>
      <c r="G2" s="209"/>
      <c r="K2" s="216" t="s">
        <v>23</v>
      </c>
      <c r="L2" s="217"/>
      <c r="M2" s="142">
        <v>41609</v>
      </c>
      <c r="O2" s="53"/>
    </row>
    <row r="3" spans="2:4" ht="16.5">
      <c r="B3" s="211"/>
      <c r="C3" s="212"/>
      <c r="D3" s="212"/>
    </row>
    <row r="4" ht="17.25" thickBot="1"/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203" t="s">
        <v>4</v>
      </c>
      <c r="I5" s="204"/>
      <c r="J5" s="203" t="s">
        <v>32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7" ht="17.25">
      <c r="A7" s="90"/>
      <c r="B7" s="150"/>
      <c r="C7" s="151"/>
      <c r="D7" s="150"/>
      <c r="E7" s="151"/>
      <c r="F7" s="150"/>
      <c r="G7" s="151"/>
      <c r="H7" s="150"/>
      <c r="I7" s="151"/>
      <c r="J7" s="150"/>
      <c r="K7" s="151"/>
      <c r="L7" s="150"/>
      <c r="M7" s="150"/>
      <c r="N7" s="150"/>
      <c r="O7" s="151"/>
      <c r="P7" s="152"/>
      <c r="Q7" s="153"/>
    </row>
    <row r="8" spans="1:18" ht="17.25">
      <c r="A8" s="30" t="s">
        <v>115</v>
      </c>
      <c r="B8" s="157">
        <f>2829569-147909.53+1200000</f>
        <v>3881659.47</v>
      </c>
      <c r="C8" s="159">
        <f>767371.59+2190665.31</f>
        <v>2958036.9</v>
      </c>
      <c r="D8" s="31">
        <v>69975</v>
      </c>
      <c r="E8" s="159">
        <f>528.06+108646.42</f>
        <v>109174.48</v>
      </c>
      <c r="F8" s="31">
        <f>2245306-95263</f>
        <v>2150043</v>
      </c>
      <c r="G8" s="159">
        <f>44593.88+2777362.25</f>
        <v>2821956.13</v>
      </c>
      <c r="H8" s="31">
        <f>1255979-13000+100000+500000+500000</f>
        <v>2342979</v>
      </c>
      <c r="I8" s="159">
        <f>39961.9+1865889.35</f>
        <v>1905851.25</v>
      </c>
      <c r="J8" s="31">
        <v>55000</v>
      </c>
      <c r="K8" s="159">
        <v>50176.44</v>
      </c>
      <c r="L8" s="31">
        <v>0</v>
      </c>
      <c r="M8" s="157">
        <v>77186.91</v>
      </c>
      <c r="N8" s="157">
        <f>425000+256172.53</f>
        <v>681172.53</v>
      </c>
      <c r="O8" s="159">
        <f>17325+525450.04</f>
        <v>542775.04</v>
      </c>
      <c r="P8" s="78">
        <f>+C8+E8+G8+I8+K8+O8+M8</f>
        <v>8465157.15</v>
      </c>
      <c r="Q8" s="78">
        <f>+B8+D8+F8+H8+J8+N8+L8-P8</f>
        <v>715671.8499999996</v>
      </c>
      <c r="R8" s="5"/>
    </row>
    <row r="9" spans="1:18" ht="17.25" hidden="1">
      <c r="A9" s="30" t="s">
        <v>116</v>
      </c>
      <c r="B9" s="157">
        <v>0</v>
      </c>
      <c r="C9" s="159"/>
      <c r="D9" s="31">
        <v>0</v>
      </c>
      <c r="E9" s="159"/>
      <c r="F9" s="31">
        <v>0</v>
      </c>
      <c r="G9" s="159"/>
      <c r="H9" s="31">
        <v>0</v>
      </c>
      <c r="I9" s="159"/>
      <c r="J9" s="31">
        <v>0</v>
      </c>
      <c r="K9" s="159"/>
      <c r="L9" s="31">
        <v>0</v>
      </c>
      <c r="M9" s="157"/>
      <c r="N9" s="157">
        <v>0</v>
      </c>
      <c r="O9" s="159"/>
      <c r="P9" s="78">
        <f>+C9+E9+G9+I9+K9+O9</f>
        <v>0</v>
      </c>
      <c r="Q9" s="78">
        <f>+B9+D9+F9+H9+J9+N9-P9</f>
        <v>0</v>
      </c>
      <c r="R9" s="5"/>
    </row>
    <row r="10" spans="1:18" ht="17.25" hidden="1">
      <c r="A10" s="30" t="s">
        <v>117</v>
      </c>
      <c r="B10" s="157">
        <v>0</v>
      </c>
      <c r="C10" s="159"/>
      <c r="D10" s="34">
        <v>0</v>
      </c>
      <c r="E10" s="159"/>
      <c r="F10" s="31">
        <v>0</v>
      </c>
      <c r="G10" s="159"/>
      <c r="H10" s="31">
        <v>0</v>
      </c>
      <c r="I10" s="159"/>
      <c r="J10" s="34">
        <v>0</v>
      </c>
      <c r="K10" s="159"/>
      <c r="L10" s="31">
        <v>0</v>
      </c>
      <c r="M10" s="157"/>
      <c r="N10" s="157">
        <v>0</v>
      </c>
      <c r="O10" s="159"/>
      <c r="P10" s="78">
        <f>+C10+E10+G10+I10+K10+O10</f>
        <v>0</v>
      </c>
      <c r="Q10" s="78">
        <f>+B10+D10+F10+H10+J10+N10-P10</f>
        <v>0</v>
      </c>
      <c r="R10" s="5"/>
    </row>
    <row r="11" spans="1:18" ht="14.25" customHeight="1">
      <c r="A11" s="30"/>
      <c r="B11" s="157"/>
      <c r="C11" s="159"/>
      <c r="D11" s="34"/>
      <c r="E11" s="159"/>
      <c r="F11" s="31"/>
      <c r="G11" s="159"/>
      <c r="H11" s="31"/>
      <c r="I11" s="159"/>
      <c r="J11" s="34"/>
      <c r="K11" s="159"/>
      <c r="L11" s="157"/>
      <c r="M11" s="157"/>
      <c r="N11" s="157"/>
      <c r="O11" s="159"/>
      <c r="P11" s="78"/>
      <c r="Q11" s="78"/>
      <c r="R11" s="5"/>
    </row>
    <row r="12" spans="1:18" ht="18" thickBot="1">
      <c r="A12" s="37" t="s">
        <v>11</v>
      </c>
      <c r="B12" s="158">
        <f aca="true" t="shared" si="0" ref="B12:Q12">SUM(B8:B11)</f>
        <v>3881659.47</v>
      </c>
      <c r="C12" s="163">
        <f t="shared" si="0"/>
        <v>2958036.9</v>
      </c>
      <c r="D12" s="38">
        <f t="shared" si="0"/>
        <v>69975</v>
      </c>
      <c r="E12" s="163">
        <f t="shared" si="0"/>
        <v>109174.48</v>
      </c>
      <c r="F12" s="38">
        <f t="shared" si="0"/>
        <v>2150043</v>
      </c>
      <c r="G12" s="163">
        <f t="shared" si="0"/>
        <v>2821956.13</v>
      </c>
      <c r="H12" s="38">
        <f t="shared" si="0"/>
        <v>2342979</v>
      </c>
      <c r="I12" s="163">
        <f t="shared" si="0"/>
        <v>1905851.25</v>
      </c>
      <c r="J12" s="38">
        <f t="shared" si="0"/>
        <v>55000</v>
      </c>
      <c r="K12" s="163">
        <f t="shared" si="0"/>
        <v>50176.44</v>
      </c>
      <c r="L12" s="38">
        <f t="shared" si="0"/>
        <v>0</v>
      </c>
      <c r="M12" s="163">
        <f t="shared" si="0"/>
        <v>77186.91</v>
      </c>
      <c r="N12" s="158">
        <f t="shared" si="0"/>
        <v>681172.53</v>
      </c>
      <c r="O12" s="163">
        <f t="shared" si="0"/>
        <v>542775.04</v>
      </c>
      <c r="P12" s="165">
        <f t="shared" si="0"/>
        <v>8465157.15</v>
      </c>
      <c r="Q12" s="165">
        <f t="shared" si="0"/>
        <v>715671.8499999996</v>
      </c>
      <c r="R12" s="5"/>
    </row>
    <row r="13" spans="1:17" ht="17.25" thickBot="1">
      <c r="A13" s="41" t="s">
        <v>30</v>
      </c>
      <c r="B13" s="42"/>
      <c r="C13" s="131">
        <f>+C12/B12</f>
        <v>0.7620547147068518</v>
      </c>
      <c r="D13" s="131"/>
      <c r="E13" s="131">
        <f>+E12/D12</f>
        <v>1.560192640228653</v>
      </c>
      <c r="F13" s="131"/>
      <c r="G13" s="131">
        <f>+G12/F12</f>
        <v>1.3125114846540278</v>
      </c>
      <c r="H13" s="43"/>
      <c r="I13" s="131">
        <f>+I12/H12</f>
        <v>0.8134307861914255</v>
      </c>
      <c r="J13" s="43"/>
      <c r="K13" s="131">
        <f>+K12/J12</f>
        <v>0.9122989090909092</v>
      </c>
      <c r="L13" s="45"/>
      <c r="M13" s="139"/>
      <c r="N13" s="43"/>
      <c r="O13" s="133">
        <f>+O12/N12</f>
        <v>0.7968246165182263</v>
      </c>
      <c r="P13" s="55"/>
      <c r="Q13" s="5"/>
    </row>
    <row r="14" spans="1:17" ht="9" customHeight="1">
      <c r="A14" s="47"/>
      <c r="B14" s="47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"/>
    </row>
    <row r="15" spans="1:17" ht="17.25">
      <c r="A15" s="47"/>
      <c r="B15" s="4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32"/>
      <c r="Q15" s="62"/>
    </row>
    <row r="32" spans="5:8" ht="16.5">
      <c r="E32" s="56"/>
      <c r="F32" s="56"/>
      <c r="G32" s="57"/>
      <c r="H32" s="57"/>
    </row>
    <row r="33" spans="5:8" ht="16.5">
      <c r="E33" s="58"/>
      <c r="F33" s="58"/>
      <c r="G33" s="58"/>
      <c r="H33" s="58"/>
    </row>
    <row r="38" spans="1:6" ht="16.5">
      <c r="A38" s="50"/>
      <c r="B38" s="50"/>
      <c r="C38" s="50"/>
      <c r="D38" s="50"/>
      <c r="E38" s="50"/>
      <c r="F38" s="50"/>
    </row>
    <row r="39" ht="16.5">
      <c r="C39" s="46"/>
    </row>
    <row r="40" spans="3:6" ht="16.5">
      <c r="C40" s="49"/>
      <c r="D40" s="5"/>
      <c r="E40" s="50"/>
      <c r="F40" s="50"/>
    </row>
    <row r="41" spans="3:6" ht="16.5">
      <c r="C41" s="49"/>
      <c r="D41" s="5"/>
      <c r="E41" s="50"/>
      <c r="F41" s="50"/>
    </row>
    <row r="42" spans="3:6" ht="16.5">
      <c r="C42" s="49"/>
      <c r="D42" s="5"/>
      <c r="E42" s="50"/>
      <c r="F42" s="50"/>
    </row>
    <row r="43" spans="3:6" ht="16.5">
      <c r="C43" s="49"/>
      <c r="D43" s="5"/>
      <c r="E43" s="50"/>
      <c r="F43" s="50"/>
    </row>
    <row r="44" spans="3:6" ht="16.5">
      <c r="C44" s="49"/>
      <c r="D44" s="5"/>
      <c r="E44" s="50"/>
      <c r="F44" s="50"/>
    </row>
    <row r="45" spans="3:6" ht="16.5">
      <c r="C45" s="49"/>
      <c r="D45" s="5"/>
      <c r="E45" s="50"/>
      <c r="F45" s="50"/>
    </row>
    <row r="47" spans="1:5" ht="16.5">
      <c r="A47" s="59" t="s">
        <v>26</v>
      </c>
      <c r="B47" s="59" t="s">
        <v>27</v>
      </c>
      <c r="C47" s="59" t="s">
        <v>28</v>
      </c>
      <c r="D47" s="59"/>
      <c r="E47" s="60"/>
    </row>
    <row r="48" spans="1:3" ht="17.25">
      <c r="A48" s="61">
        <f>+B12</f>
        <v>3881659.47</v>
      </c>
      <c r="B48" s="62">
        <f>+C12</f>
        <v>2958036.9</v>
      </c>
      <c r="C48" s="59" t="s">
        <v>1</v>
      </c>
    </row>
    <row r="49" spans="1:3" ht="17.25">
      <c r="A49" s="61">
        <f>+D12</f>
        <v>69975</v>
      </c>
      <c r="B49" s="62">
        <f>+E12</f>
        <v>109174.48</v>
      </c>
      <c r="C49" s="59" t="s">
        <v>2</v>
      </c>
    </row>
    <row r="50" spans="1:3" ht="17.25">
      <c r="A50" s="61">
        <f>+F12</f>
        <v>2150043</v>
      </c>
      <c r="B50" s="62">
        <f>+G12</f>
        <v>2821956.13</v>
      </c>
      <c r="C50" s="59" t="s">
        <v>3</v>
      </c>
    </row>
    <row r="51" spans="1:3" ht="17.25">
      <c r="A51" s="61">
        <f>+H12</f>
        <v>2342979</v>
      </c>
      <c r="B51" s="62">
        <f>+I12</f>
        <v>1905851.25</v>
      </c>
      <c r="C51" s="59" t="s">
        <v>34</v>
      </c>
    </row>
    <row r="52" spans="1:3" ht="17.25">
      <c r="A52" s="61">
        <f>+J12</f>
        <v>55000</v>
      </c>
      <c r="B52" s="62">
        <f>+K12</f>
        <v>50176.44</v>
      </c>
      <c r="C52" s="59" t="s">
        <v>32</v>
      </c>
    </row>
    <row r="53" spans="1:3" ht="17.25">
      <c r="A53" s="63">
        <f>+L12</f>
        <v>0</v>
      </c>
      <c r="B53" s="62">
        <f>+M12</f>
        <v>77186.91</v>
      </c>
      <c r="C53" s="59" t="s">
        <v>94</v>
      </c>
    </row>
    <row r="54" spans="1:3" ht="17.25">
      <c r="A54" s="61">
        <f>+N12</f>
        <v>681172.53</v>
      </c>
      <c r="B54" s="62">
        <f>+O12</f>
        <v>542775.04</v>
      </c>
      <c r="C54" s="59" t="s">
        <v>35</v>
      </c>
    </row>
    <row r="55" spans="1:3" ht="17.25">
      <c r="A55" s="61">
        <f>SUM(A48:A54)</f>
        <v>9180829</v>
      </c>
      <c r="B55" s="62">
        <f>SUM(B48:B54)</f>
        <v>8465157.15</v>
      </c>
      <c r="C55" s="59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7480314960629921" right="0.5511811023622047" top="0.9448818897637796" bottom="0.5905511811023623" header="0.3937007874015748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1">
      <selection activeCell="I17" sqref="I17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4.00390625" style="1" customWidth="1"/>
    <col min="4" max="4" width="8.7109375" style="1" customWidth="1"/>
    <col min="5" max="5" width="14.28125" style="1" customWidth="1"/>
    <col min="6" max="6" width="12.28125" style="1" customWidth="1"/>
    <col min="7" max="7" width="13.28125" style="1" customWidth="1"/>
    <col min="8" max="8" width="13.00390625" style="1" customWidth="1"/>
    <col min="9" max="9" width="12.28125" style="1" customWidth="1"/>
    <col min="10" max="10" width="13.140625" style="1" customWidth="1"/>
    <col min="11" max="11" width="13.00390625" style="1" customWidth="1"/>
    <col min="12" max="12" width="13.281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7.25">
      <c r="A1" s="156" t="s">
        <v>41</v>
      </c>
    </row>
    <row r="2" spans="1:3" ht="18.75" thickBot="1">
      <c r="A2" s="17" t="s">
        <v>42</v>
      </c>
      <c r="C2" s="142">
        <v>41609</v>
      </c>
    </row>
    <row r="3" spans="1:12" ht="18" thickTop="1">
      <c r="A3" s="2" t="s">
        <v>43</v>
      </c>
      <c r="B3" s="144" t="s">
        <v>44</v>
      </c>
      <c r="C3" s="144" t="s">
        <v>25</v>
      </c>
      <c r="D3" s="144" t="s">
        <v>45</v>
      </c>
      <c r="E3" s="218" t="s">
        <v>46</v>
      </c>
      <c r="F3" s="219"/>
      <c r="G3" s="219"/>
      <c r="H3" s="219"/>
      <c r="I3" s="219"/>
      <c r="J3" s="219"/>
      <c r="K3" s="220"/>
      <c r="L3" s="146" t="s">
        <v>24</v>
      </c>
    </row>
    <row r="4" spans="1:12" ht="17.25">
      <c r="A4" s="3"/>
      <c r="B4" s="145" t="s">
        <v>47</v>
      </c>
      <c r="C4" s="145" t="s">
        <v>47</v>
      </c>
      <c r="D4" s="145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47" t="s">
        <v>50</v>
      </c>
    </row>
    <row r="5" spans="1:12" ht="16.5">
      <c r="A5" s="148" t="s">
        <v>15</v>
      </c>
      <c r="B5" s="94">
        <f>+INT!P12+INT!Q12</f>
        <v>7880624</v>
      </c>
      <c r="C5" s="94">
        <f>SUM(E5:K5)</f>
        <v>11167318.81</v>
      </c>
      <c r="D5" s="95">
        <f>+C5/B5</f>
        <v>1.4170602239112031</v>
      </c>
      <c r="E5" s="94">
        <f>+INT!C12</f>
        <v>3444285.4699999993</v>
      </c>
      <c r="F5" s="94">
        <f>+INT!E$12</f>
        <v>116313.39</v>
      </c>
      <c r="G5" s="94">
        <f>+INT!G$12</f>
        <v>2457310.3999999994</v>
      </c>
      <c r="H5" s="94">
        <f>+INT!I$12</f>
        <v>4116752.49</v>
      </c>
      <c r="I5" s="94">
        <f>+INT!K$12</f>
        <v>182459.68</v>
      </c>
      <c r="J5" s="94">
        <f>+INT!M12</f>
        <v>260352</v>
      </c>
      <c r="K5" s="94">
        <f>+INT!O$12</f>
        <v>589845.38</v>
      </c>
      <c r="L5" s="96">
        <f>+B5-C5</f>
        <v>-3286694.8100000005</v>
      </c>
    </row>
    <row r="6" spans="1:12" ht="16.5">
      <c r="A6" s="148" t="s">
        <v>16</v>
      </c>
      <c r="B6" s="94">
        <f>+GOB!P18+GOB!Q18</f>
        <v>20556107</v>
      </c>
      <c r="C6" s="94">
        <f>SUM(E6:K6)</f>
        <v>19221255.51</v>
      </c>
      <c r="D6" s="95">
        <f>+C6/B6</f>
        <v>0.9350630209309575</v>
      </c>
      <c r="E6" s="94">
        <f>+GOB!C18</f>
        <v>10158823.96</v>
      </c>
      <c r="F6" s="94">
        <f>+GOB!E18</f>
        <v>223727.63</v>
      </c>
      <c r="G6" s="94">
        <f>+GOB!G18</f>
        <v>5096224.47</v>
      </c>
      <c r="H6" s="94">
        <f>+GOB!I18</f>
        <v>2094702.33</v>
      </c>
      <c r="I6" s="94">
        <f>+GOB!K18</f>
        <v>358225.17</v>
      </c>
      <c r="J6" s="94">
        <f>+GOB!M18</f>
        <v>205744.54</v>
      </c>
      <c r="K6" s="94">
        <f>+GOB!O18</f>
        <v>1083807.41</v>
      </c>
      <c r="L6" s="96">
        <f>+B6-C6</f>
        <v>1334851.4899999984</v>
      </c>
    </row>
    <row r="7" spans="1:12" ht="16.5">
      <c r="A7" s="148" t="s">
        <v>17</v>
      </c>
      <c r="B7" s="94">
        <f>+SEH!P14+SEH!Q14</f>
        <v>14414637</v>
      </c>
      <c r="C7" s="94">
        <f>SUM(E7:K7)</f>
        <v>14785973.99</v>
      </c>
      <c r="D7" s="95">
        <f>+C7/B7</f>
        <v>1.025761105881473</v>
      </c>
      <c r="E7" s="94">
        <f>+SEH!C14</f>
        <v>7899442.89</v>
      </c>
      <c r="F7" s="94">
        <f>+SEH!E14</f>
        <v>1897364.6500000001</v>
      </c>
      <c r="G7" s="94">
        <f>+SEH!G14</f>
        <v>3606029.36</v>
      </c>
      <c r="H7" s="94">
        <f>+SEH!I14</f>
        <v>28143.9</v>
      </c>
      <c r="I7" s="94">
        <f>+SEH!K14</f>
        <v>186498.16999999998</v>
      </c>
      <c r="J7" s="94">
        <f>+SEH!M14</f>
        <v>4997.13</v>
      </c>
      <c r="K7" s="94">
        <f>+SEH!O14</f>
        <v>1163497.89</v>
      </c>
      <c r="L7" s="96">
        <f>+B7-C7</f>
        <v>-371336.9900000002</v>
      </c>
    </row>
    <row r="8" spans="1:12" ht="16.5">
      <c r="A8" s="148" t="s">
        <v>20</v>
      </c>
      <c r="B8" s="94">
        <f>+SAS!P13+SAS!Q13</f>
        <v>47736832.99999999</v>
      </c>
      <c r="C8" s="94">
        <f aca="true" t="shared" si="0" ref="C8:C15">SUM(E8:K8)</f>
        <v>46152188.300000004</v>
      </c>
      <c r="D8" s="95">
        <f aca="true" t="shared" si="1" ref="D8:D15">+C8/B8</f>
        <v>0.9668045699638267</v>
      </c>
      <c r="E8" s="94">
        <f>+SAS!C13</f>
        <v>18387126.099999998</v>
      </c>
      <c r="F8" s="94">
        <f>+SAS!E13</f>
        <v>238229.73</v>
      </c>
      <c r="G8" s="94">
        <f>+SAS!G13</f>
        <v>4949653.01</v>
      </c>
      <c r="H8" s="94">
        <f>+SAS!I13</f>
        <v>20586705.8</v>
      </c>
      <c r="I8" s="94">
        <f>+SAS!K13</f>
        <v>118408.78</v>
      </c>
      <c r="J8" s="94">
        <f>+SAS!M13</f>
        <v>105875.86000000002</v>
      </c>
      <c r="K8" s="94">
        <f>+SAS!O13</f>
        <v>1766189.0199999998</v>
      </c>
      <c r="L8" s="96">
        <f aca="true" t="shared" si="2" ref="L8:L15">+B8-C8</f>
        <v>1584644.699999988</v>
      </c>
    </row>
    <row r="9" spans="1:12" ht="16.5">
      <c r="A9" s="148" t="s">
        <v>18</v>
      </c>
      <c r="B9" s="94">
        <f>+SOP!P12+SOP!Q12</f>
        <v>25251779.59</v>
      </c>
      <c r="C9" s="94">
        <f t="shared" si="0"/>
        <v>23043330.800000004</v>
      </c>
      <c r="D9" s="95">
        <f t="shared" si="1"/>
        <v>0.912542845460501</v>
      </c>
      <c r="E9" s="94">
        <f>+SOP!C12</f>
        <v>6499873.98</v>
      </c>
      <c r="F9" s="94">
        <f>+SOP!E12</f>
        <v>548488.99</v>
      </c>
      <c r="G9" s="94">
        <f>+SOP!G12</f>
        <v>3169951.95</v>
      </c>
      <c r="H9" s="94">
        <f>+SOP!I12</f>
        <v>857892.1399999999</v>
      </c>
      <c r="I9" s="94">
        <f>+SOP!K12</f>
        <v>319477.8</v>
      </c>
      <c r="J9" s="94">
        <f>+SOP!M12</f>
        <v>10054341.18</v>
      </c>
      <c r="K9" s="94">
        <f>+SOP!O12</f>
        <v>1593304.7599999998</v>
      </c>
      <c r="L9" s="96">
        <f t="shared" si="2"/>
        <v>2208448.7899999954</v>
      </c>
    </row>
    <row r="10" spans="1:12" ht="16.5">
      <c r="A10" s="148" t="s">
        <v>84</v>
      </c>
      <c r="B10" s="94">
        <f>+SFOI!P13+SFOI!Q13</f>
        <v>27350228</v>
      </c>
      <c r="C10" s="94">
        <f t="shared" si="0"/>
        <v>32762939.61</v>
      </c>
      <c r="D10" s="95">
        <f t="shared" si="1"/>
        <v>1.1979037107112964</v>
      </c>
      <c r="E10" s="94">
        <f>+SFOI!C13</f>
        <v>21097206.11</v>
      </c>
      <c r="F10" s="94">
        <f>+SFOI!E13</f>
        <v>717747.88</v>
      </c>
      <c r="G10" s="94">
        <f>+SFOI!G13</f>
        <v>7348991</v>
      </c>
      <c r="H10" s="94">
        <f>+SFOI!I13</f>
        <v>83082.44</v>
      </c>
      <c r="I10" s="94">
        <f>+SFOI!K13</f>
        <v>661944.14</v>
      </c>
      <c r="J10" s="94">
        <f>+SFOI!M13</f>
        <v>141234.96</v>
      </c>
      <c r="K10" s="94">
        <f>+SFOI!O13</f>
        <v>2712733.08</v>
      </c>
      <c r="L10" s="96">
        <f t="shared" si="2"/>
        <v>-5412711.609999999</v>
      </c>
    </row>
    <row r="11" spans="1:12" ht="16.5">
      <c r="A11" s="148" t="s">
        <v>21</v>
      </c>
      <c r="B11" s="94">
        <f>+'CD'!P11+'CD'!Q11</f>
        <v>3027378.59</v>
      </c>
      <c r="C11" s="94">
        <f t="shared" si="0"/>
        <v>2778125.53</v>
      </c>
      <c r="D11" s="95">
        <f t="shared" si="1"/>
        <v>0.9176670335109953</v>
      </c>
      <c r="E11" s="94">
        <f>+'CD'!C11</f>
        <v>2082764.73</v>
      </c>
      <c r="F11" s="94">
        <f>+'CD'!E11</f>
        <v>14522.41</v>
      </c>
      <c r="G11" s="94">
        <f>+'CD'!G11</f>
        <v>35425.35</v>
      </c>
      <c r="H11" s="94">
        <f>+'CD'!I11</f>
        <v>354466.8</v>
      </c>
      <c r="I11" s="94">
        <f>+'CD'!K11</f>
        <v>29898.21</v>
      </c>
      <c r="J11" s="94">
        <f>+'CD'!M11</f>
        <v>0</v>
      </c>
      <c r="K11" s="94">
        <f>+'CD'!O11</f>
        <v>261048.03</v>
      </c>
      <c r="L11" s="96">
        <f t="shared" si="2"/>
        <v>249253.06000000006</v>
      </c>
    </row>
    <row r="12" spans="1:12" ht="16.5">
      <c r="A12" s="148" t="s">
        <v>22</v>
      </c>
      <c r="B12" s="94">
        <f>+'CM'!N12+'CM'!O12</f>
        <v>725929</v>
      </c>
      <c r="C12" s="94">
        <f t="shared" si="0"/>
        <v>724895.5</v>
      </c>
      <c r="D12" s="95">
        <f t="shared" si="1"/>
        <v>0.998576307049312</v>
      </c>
      <c r="E12" s="94">
        <f>+'CM'!C12</f>
        <v>561917.27</v>
      </c>
      <c r="F12" s="94">
        <f>+'CM'!E12</f>
        <v>2766</v>
      </c>
      <c r="G12" s="94">
        <f>+'CM'!G12</f>
        <v>90603.75</v>
      </c>
      <c r="H12" s="94">
        <f>+'CM'!I12</f>
        <v>0</v>
      </c>
      <c r="I12" s="94">
        <f>+'CM'!K12</f>
        <v>0</v>
      </c>
      <c r="J12" s="94">
        <v>0</v>
      </c>
      <c r="K12" s="94">
        <f>+'CM'!M12</f>
        <v>69608.48</v>
      </c>
      <c r="L12" s="96">
        <f t="shared" si="2"/>
        <v>1033.5</v>
      </c>
    </row>
    <row r="13" spans="1:12" ht="16.5">
      <c r="A13" s="148" t="s">
        <v>19</v>
      </c>
      <c r="B13" s="94">
        <f>+SSP!P13+SSP!Q13</f>
        <v>58424675.82000001</v>
      </c>
      <c r="C13" s="94">
        <f t="shared" si="0"/>
        <v>52620446.480000004</v>
      </c>
      <c r="D13" s="95">
        <f t="shared" si="1"/>
        <v>0.9006544878762838</v>
      </c>
      <c r="E13" s="94">
        <f>+SSP!C13</f>
        <v>29863297.830000002</v>
      </c>
      <c r="F13" s="94">
        <f>+SSP!E13</f>
        <v>5206927.920000001</v>
      </c>
      <c r="G13" s="94">
        <f>+SSP!G13</f>
        <v>9120705.969999999</v>
      </c>
      <c r="H13" s="94">
        <f>+SSP!I13</f>
        <v>184324.81</v>
      </c>
      <c r="I13" s="94">
        <f>+SSP!K13</f>
        <v>3789047.96</v>
      </c>
      <c r="J13" s="94">
        <f>+SSP!M13</f>
        <v>1666237.4300000002</v>
      </c>
      <c r="K13" s="94">
        <f>+SSP!O13</f>
        <v>2789904.5599999996</v>
      </c>
      <c r="L13" s="96">
        <f t="shared" si="2"/>
        <v>5804229.340000004</v>
      </c>
    </row>
    <row r="14" spans="1:12" ht="16.5">
      <c r="A14" s="148" t="s">
        <v>113</v>
      </c>
      <c r="B14" s="94">
        <f>+CULTURA!P10+CULTURA!Q10</f>
        <v>8524393</v>
      </c>
      <c r="C14" s="94">
        <f t="shared" si="0"/>
        <v>8388410.279999999</v>
      </c>
      <c r="D14" s="95">
        <f t="shared" si="1"/>
        <v>0.984047811967374</v>
      </c>
      <c r="E14" s="94">
        <f>+CULTURA!C10</f>
        <v>3227335.93</v>
      </c>
      <c r="F14" s="94">
        <f>+CULTURA!E10</f>
        <v>85621.12</v>
      </c>
      <c r="G14" s="94">
        <f>+CULTURA!G10</f>
        <v>2305419.0199999996</v>
      </c>
      <c r="H14" s="94">
        <f>+CULTURA!I10</f>
        <v>2195083.85</v>
      </c>
      <c r="I14" s="94">
        <f>+CULTURA!K10</f>
        <v>33933</v>
      </c>
      <c r="J14" s="94">
        <f>+CULTURA!M10</f>
        <v>74225.56</v>
      </c>
      <c r="K14" s="94">
        <f>+CULTURA!O10</f>
        <v>466791.8</v>
      </c>
      <c r="L14" s="96">
        <f t="shared" si="2"/>
        <v>135982.72000000067</v>
      </c>
    </row>
    <row r="15" spans="1:12" ht="16.5">
      <c r="A15" s="148" t="s">
        <v>114</v>
      </c>
      <c r="B15" s="94">
        <f>+DEPORTES!P12+DEPORTES!Q12</f>
        <v>9180829</v>
      </c>
      <c r="C15" s="94">
        <f t="shared" si="0"/>
        <v>8465157.15</v>
      </c>
      <c r="D15" s="95">
        <f t="shared" si="1"/>
        <v>0.9220471430194376</v>
      </c>
      <c r="E15" s="94">
        <f>+DEPORTES!C12</f>
        <v>2958036.9</v>
      </c>
      <c r="F15" s="94">
        <f>+DEPORTES!E12</f>
        <v>109174.48</v>
      </c>
      <c r="G15" s="94">
        <f>+DEPORTES!G12</f>
        <v>2821956.13</v>
      </c>
      <c r="H15" s="94">
        <f>+DEPORTES!I12</f>
        <v>1905851.25</v>
      </c>
      <c r="I15" s="94">
        <f>+DEPORTES!K12</f>
        <v>50176.44</v>
      </c>
      <c r="J15" s="94">
        <f>+DEPORTES!M12</f>
        <v>77186.91</v>
      </c>
      <c r="K15" s="94">
        <f>+DEPORTES!O12</f>
        <v>542775.04</v>
      </c>
      <c r="L15" s="96">
        <f t="shared" si="2"/>
        <v>715671.8499999996</v>
      </c>
    </row>
    <row r="16" spans="1:12" ht="17.25">
      <c r="A16" s="16" t="s">
        <v>11</v>
      </c>
      <c r="B16" s="11">
        <f>SUM(B5:B15)</f>
        <v>223073414</v>
      </c>
      <c r="C16" s="11">
        <f>SUM(C5:C15)</f>
        <v>220110041.96000004</v>
      </c>
      <c r="D16" s="12">
        <f>+C16/B16</f>
        <v>0.9867157094749087</v>
      </c>
      <c r="E16" s="11">
        <f aca="true" t="shared" si="3" ref="E16:L16">SUM(E5:E15)</f>
        <v>106180111.17000002</v>
      </c>
      <c r="F16" s="11">
        <f t="shared" si="3"/>
        <v>9160884.200000001</v>
      </c>
      <c r="G16" s="11">
        <f t="shared" si="3"/>
        <v>41002270.410000004</v>
      </c>
      <c r="H16" s="11">
        <f t="shared" si="3"/>
        <v>32407005.810000006</v>
      </c>
      <c r="I16" s="11">
        <f t="shared" si="3"/>
        <v>5730069.350000001</v>
      </c>
      <c r="J16" s="11">
        <f t="shared" si="3"/>
        <v>12590195.57</v>
      </c>
      <c r="K16" s="11">
        <f t="shared" si="3"/>
        <v>13039505.45</v>
      </c>
      <c r="L16" s="18">
        <f t="shared" si="3"/>
        <v>2963372.0399999856</v>
      </c>
    </row>
    <row r="17" spans="1:12" ht="18" thickBot="1">
      <c r="A17" s="15" t="s">
        <v>51</v>
      </c>
      <c r="B17" s="6"/>
      <c r="C17" s="7"/>
      <c r="D17" s="8"/>
      <c r="E17" s="13">
        <f>+E16/94268154.77</f>
        <v>1.1263624649179078</v>
      </c>
      <c r="F17" s="14">
        <f>+F16/9192836</f>
        <v>0.9965242717263749</v>
      </c>
      <c r="G17" s="14">
        <f>+G16/38367858.94</f>
        <v>1.068661935869805</v>
      </c>
      <c r="H17" s="14">
        <f>+H16/(31403465+10000000)</f>
        <v>0.782712408490449</v>
      </c>
      <c r="I17" s="14">
        <f>+I16/(6334843+4000000+2000000)</f>
        <v>0.4645433549498766</v>
      </c>
      <c r="J17" s="14">
        <f>+J16/(12323551.96+2000000)</f>
        <v>0.8789855760051294</v>
      </c>
      <c r="K17" s="14">
        <f>+K16/13182704.33</f>
        <v>0.9891373669305378</v>
      </c>
      <c r="L17" s="9"/>
    </row>
    <row r="18" spans="2:12" ht="17.25" thickTop="1">
      <c r="B18" s="5"/>
      <c r="C18" s="49"/>
      <c r="D18" s="5"/>
      <c r="E18" s="49"/>
      <c r="F18" s="192"/>
      <c r="G18" s="49"/>
      <c r="H18" s="192"/>
      <c r="I18" s="49"/>
      <c r="J18" s="49"/>
      <c r="K18" s="49"/>
      <c r="L18" s="5"/>
    </row>
    <row r="19" spans="8:11" ht="16.5">
      <c r="H19" s="5"/>
      <c r="I19" s="5"/>
      <c r="J19" s="5"/>
      <c r="K19" s="120" t="s">
        <v>52</v>
      </c>
    </row>
    <row r="20" ht="16.5">
      <c r="K20" s="121" t="s">
        <v>53</v>
      </c>
    </row>
    <row r="21" ht="16.5">
      <c r="K21" s="120"/>
    </row>
    <row r="22" ht="16.5">
      <c r="K22" s="143" t="s">
        <v>54</v>
      </c>
    </row>
    <row r="23" ht="16.5">
      <c r="K23" s="120"/>
    </row>
    <row r="24" ht="16.5">
      <c r="K24" s="122" t="s">
        <v>55</v>
      </c>
    </row>
    <row r="25" ht="16.5">
      <c r="K25" s="120"/>
    </row>
    <row r="26" ht="16.5">
      <c r="K26" s="127" t="s">
        <v>56</v>
      </c>
    </row>
    <row r="27" ht="16.5">
      <c r="K27" s="120"/>
    </row>
    <row r="28" ht="16.5">
      <c r="K28" s="123" t="s">
        <v>57</v>
      </c>
    </row>
    <row r="29" ht="16.5">
      <c r="K29" s="120"/>
    </row>
    <row r="30" ht="16.5">
      <c r="K30" s="124" t="s">
        <v>58</v>
      </c>
    </row>
    <row r="31" ht="16.5">
      <c r="K31" s="120"/>
    </row>
    <row r="32" ht="16.5">
      <c r="K32" s="125" t="s">
        <v>59</v>
      </c>
    </row>
    <row r="33" ht="16.5">
      <c r="K33" s="120"/>
    </row>
    <row r="34" ht="16.5">
      <c r="K34" s="126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0.4370574550949264</v>
      </c>
      <c r="F61" s="10">
        <f aca="true" t="shared" si="4" ref="F61:L61">+F5/$B$5</f>
        <v>0.014759413721553014</v>
      </c>
      <c r="G61" s="10">
        <f t="shared" si="4"/>
        <v>0.3118167292336241</v>
      </c>
      <c r="H61" s="10">
        <f t="shared" si="4"/>
        <v>0.5223891521788122</v>
      </c>
      <c r="I61" s="10">
        <f t="shared" si="4"/>
        <v>0.02315294829444978</v>
      </c>
      <c r="J61" s="10">
        <f t="shared" si="4"/>
        <v>0.033036977782470014</v>
      </c>
      <c r="K61" s="10">
        <f t="shared" si="4"/>
        <v>0.07484754760536728</v>
      </c>
      <c r="L61" s="10">
        <f t="shared" si="4"/>
        <v>-0.417060223911203</v>
      </c>
      <c r="M61" s="10">
        <f>SUM(E61:L61)</f>
        <v>0.9999999999999997</v>
      </c>
    </row>
    <row r="62" spans="1:13" ht="16.5">
      <c r="A62" s="1" t="s">
        <v>67</v>
      </c>
      <c r="E62" s="10">
        <f>+E6/B6</f>
        <v>0.4941997996021329</v>
      </c>
      <c r="F62" s="10">
        <f>+F6/B6</f>
        <v>0.010883754886078381</v>
      </c>
      <c r="G62" s="10">
        <f>+G6/B6</f>
        <v>0.2479177827786166</v>
      </c>
      <c r="H62" s="10">
        <f>+H6/B6</f>
        <v>0.10190170395590956</v>
      </c>
      <c r="I62" s="10">
        <f>+I6/B6</f>
        <v>0.01742670292580205</v>
      </c>
      <c r="J62" s="10">
        <f>+J6/B6</f>
        <v>0.01000892532812755</v>
      </c>
      <c r="K62" s="10">
        <f>+K6/B6</f>
        <v>0.05272435145429044</v>
      </c>
      <c r="L62" s="10">
        <f>+L6/B6</f>
        <v>0.06493697906904251</v>
      </c>
      <c r="M62" s="10">
        <f>SUM(E62:L62)</f>
        <v>1</v>
      </c>
    </row>
    <row r="63" spans="1:13" ht="16.5">
      <c r="A63" s="1" t="s">
        <v>68</v>
      </c>
      <c r="E63" s="10">
        <f>+E7/B7</f>
        <v>0.5480153881086287</v>
      </c>
      <c r="F63" s="10">
        <f>+F7/B7</f>
        <v>0.13162764001618635</v>
      </c>
      <c r="G63" s="10">
        <f>+G7/B7</f>
        <v>0.2501644238422376</v>
      </c>
      <c r="H63" s="10">
        <f>+H7/B7</f>
        <v>0.0019524529129661746</v>
      </c>
      <c r="I63" s="10">
        <f>+I7/B7</f>
        <v>0.012938110755060983</v>
      </c>
      <c r="J63" s="10">
        <f>+J7/B7</f>
        <v>0.00034667054050684733</v>
      </c>
      <c r="K63" s="10">
        <f>+K7/B7</f>
        <v>0.08071641970588644</v>
      </c>
      <c r="L63" s="10">
        <f>+L7/B7</f>
        <v>-0.025761105881473133</v>
      </c>
      <c r="M63" s="10">
        <f>SUM(E63:L63)</f>
        <v>0.9999999999999999</v>
      </c>
    </row>
    <row r="64" spans="1:13" ht="16.5">
      <c r="A64" s="1" t="s">
        <v>71</v>
      </c>
      <c r="E64" s="10">
        <f>+E8/$B$8</f>
        <v>0.3851769156952662</v>
      </c>
      <c r="F64" s="10">
        <f aca="true" t="shared" si="5" ref="E64:L64">+F8/$B$8</f>
        <v>0.0049904804116351845</v>
      </c>
      <c r="G64" s="10">
        <f t="shared" si="5"/>
        <v>0.10368624600630713</v>
      </c>
      <c r="H64" s="10">
        <f t="shared" si="5"/>
        <v>0.43125411775850325</v>
      </c>
      <c r="I64" s="10">
        <f t="shared" si="5"/>
        <v>0.0024804490067449596</v>
      </c>
      <c r="J64" s="10">
        <f t="shared" si="5"/>
        <v>0.00221790708235714</v>
      </c>
      <c r="K64" s="10">
        <f t="shared" si="5"/>
        <v>0.03699845400301273</v>
      </c>
      <c r="L64" s="10">
        <f t="shared" si="5"/>
        <v>0.03319543003617329</v>
      </c>
      <c r="M64" s="10">
        <f aca="true" t="shared" si="6" ref="M64:M71">SUM(E64:L64)</f>
        <v>0.9999999999999998</v>
      </c>
    </row>
    <row r="65" spans="1:13" ht="16.5">
      <c r="A65" s="1" t="s">
        <v>69</v>
      </c>
      <c r="E65" s="10">
        <f>+E9/$B$9</f>
        <v>0.2574026102530226</v>
      </c>
      <c r="F65" s="10">
        <f aca="true" t="shared" si="7" ref="F65:L65">+F9/$B$9</f>
        <v>0.021720805381067403</v>
      </c>
      <c r="G65" s="10">
        <f t="shared" si="7"/>
        <v>0.12553380401179084</v>
      </c>
      <c r="H65" s="10">
        <f t="shared" si="7"/>
        <v>0.03397353192246835</v>
      </c>
      <c r="I65" s="10">
        <f t="shared" si="7"/>
        <v>0.01265169446221988</v>
      </c>
      <c r="J65" s="10">
        <f t="shared" si="7"/>
        <v>0.3981636677987494</v>
      </c>
      <c r="K65" s="10">
        <f t="shared" si="7"/>
        <v>0.06309673163118243</v>
      </c>
      <c r="L65" s="10">
        <f t="shared" si="7"/>
        <v>0.08745715453949895</v>
      </c>
      <c r="M65" s="10">
        <f t="shared" si="6"/>
        <v>0.9999999999999999</v>
      </c>
    </row>
    <row r="66" spans="1:13" ht="16.5">
      <c r="A66" s="1" t="s">
        <v>92</v>
      </c>
      <c r="E66" s="10">
        <f>+E10/$B$10</f>
        <v>0.7713722207361489</v>
      </c>
      <c r="F66" s="10">
        <f aca="true" t="shared" si="8" ref="F66:L66">+F10/$B$10</f>
        <v>0.02624284814005938</v>
      </c>
      <c r="G66" s="10">
        <f t="shared" si="8"/>
        <v>0.2686994419205573</v>
      </c>
      <c r="H66" s="10">
        <f t="shared" si="8"/>
        <v>0.0030377238537097387</v>
      </c>
      <c r="I66" s="10">
        <f t="shared" si="8"/>
        <v>0.024202509024787655</v>
      </c>
      <c r="J66" s="10">
        <f t="shared" si="8"/>
        <v>0.00516394086367397</v>
      </c>
      <c r="K66" s="10">
        <f t="shared" si="8"/>
        <v>0.09918502617235951</v>
      </c>
      <c r="L66" s="10">
        <f t="shared" si="8"/>
        <v>-0.19790371071129642</v>
      </c>
      <c r="M66" s="10">
        <f t="shared" si="6"/>
        <v>1</v>
      </c>
    </row>
    <row r="67" spans="1:13" ht="16.5">
      <c r="A67" s="1" t="s">
        <v>72</v>
      </c>
      <c r="E67" s="10">
        <f>+E11/$B$11</f>
        <v>0.6879763029572064</v>
      </c>
      <c r="F67" s="10">
        <f aca="true" t="shared" si="9" ref="F67:L67">+F11/$B$11</f>
        <v>0.0047970247421218635</v>
      </c>
      <c r="G67" s="10">
        <f t="shared" si="9"/>
        <v>0.011701658364439977</v>
      </c>
      <c r="H67" s="10">
        <f t="shared" si="9"/>
        <v>0.11708704064000136</v>
      </c>
      <c r="I67" s="10">
        <f t="shared" si="9"/>
        <v>0.009875940227218162</v>
      </c>
      <c r="J67" s="10">
        <f t="shared" si="9"/>
        <v>0</v>
      </c>
      <c r="K67" s="10">
        <f t="shared" si="9"/>
        <v>0.08622906658000776</v>
      </c>
      <c r="L67" s="10">
        <f t="shared" si="9"/>
        <v>0.08233296648900462</v>
      </c>
      <c r="M67" s="10">
        <f t="shared" si="6"/>
        <v>1</v>
      </c>
    </row>
    <row r="68" spans="1:13" ht="16.5">
      <c r="A68" s="1" t="s">
        <v>73</v>
      </c>
      <c r="E68" s="10">
        <f>+E12/$B$12</f>
        <v>0.7740664307390943</v>
      </c>
      <c r="F68" s="10">
        <f aca="true" t="shared" si="10" ref="F68:L68">+F12/$B$12</f>
        <v>0.0038102899870372997</v>
      </c>
      <c r="G68" s="10">
        <f t="shared" si="10"/>
        <v>0.12481075972994604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0.09588882659323432</v>
      </c>
      <c r="L68" s="10">
        <f t="shared" si="10"/>
        <v>0.001423692950688015</v>
      </c>
      <c r="M68" s="10">
        <f t="shared" si="6"/>
        <v>0.9999999999999999</v>
      </c>
    </row>
    <row r="69" spans="1:13" ht="16.5">
      <c r="A69" s="1" t="s">
        <v>70</v>
      </c>
      <c r="E69" s="10">
        <f>+E13/$B$13</f>
        <v>0.5111418661869094</v>
      </c>
      <c r="F69" s="10">
        <f aca="true" t="shared" si="11" ref="F69:L69">+F13/$B$13</f>
        <v>0.08912206780645172</v>
      </c>
      <c r="G69" s="10">
        <f t="shared" si="11"/>
        <v>0.15611051053325292</v>
      </c>
      <c r="H69" s="10">
        <f t="shared" si="11"/>
        <v>0.003154913697217327</v>
      </c>
      <c r="I69" s="10">
        <f t="shared" si="11"/>
        <v>0.06485355557082832</v>
      </c>
      <c r="J69" s="10">
        <f t="shared" si="11"/>
        <v>0.02851941250189379</v>
      </c>
      <c r="K69" s="10">
        <f t="shared" si="11"/>
        <v>0.04775216157973026</v>
      </c>
      <c r="L69" s="10">
        <f t="shared" si="11"/>
        <v>0.09934551212371627</v>
      </c>
      <c r="M69" s="10">
        <f t="shared" si="6"/>
        <v>1</v>
      </c>
    </row>
    <row r="70" spans="1:13" ht="16.5">
      <c r="A70" s="1" t="s">
        <v>129</v>
      </c>
      <c r="E70" s="10">
        <f>+E14/$B$14</f>
        <v>0.3786000868331622</v>
      </c>
      <c r="F70" s="10">
        <f aca="true" t="shared" si="12" ref="F70:L70">+F14/$B$14</f>
        <v>0.010044248311873935</v>
      </c>
      <c r="G70" s="10">
        <f t="shared" si="12"/>
        <v>0.27044964022658263</v>
      </c>
      <c r="H70" s="10">
        <f t="shared" si="12"/>
        <v>0.25750617668612885</v>
      </c>
      <c r="I70" s="10">
        <f t="shared" si="12"/>
        <v>0.003980693991935848</v>
      </c>
      <c r="J70" s="10">
        <f t="shared" si="12"/>
        <v>0.008707430546667663</v>
      </c>
      <c r="K70" s="10">
        <f t="shared" si="12"/>
        <v>0.0547595353710229</v>
      </c>
      <c r="L70" s="10">
        <f t="shared" si="12"/>
        <v>0.01595218803262598</v>
      </c>
      <c r="M70" s="10">
        <f t="shared" si="6"/>
        <v>1</v>
      </c>
    </row>
    <row r="71" spans="1:13" ht="16.5">
      <c r="A71" s="1" t="s">
        <v>130</v>
      </c>
      <c r="E71" s="10">
        <f>+E15/$B$15</f>
        <v>0.3221971458133029</v>
      </c>
      <c r="F71" s="10">
        <f aca="true" t="shared" si="13" ref="F71:L71">+F15/$B$15</f>
        <v>0.01189157101172454</v>
      </c>
      <c r="G71" s="10">
        <f t="shared" si="13"/>
        <v>0.30737487104922656</v>
      </c>
      <c r="H71" s="10">
        <f t="shared" si="13"/>
        <v>0.2075903221811451</v>
      </c>
      <c r="I71" s="10">
        <f t="shared" si="13"/>
        <v>0.00546534958880075</v>
      </c>
      <c r="J71" s="10">
        <f t="shared" si="13"/>
        <v>0.00840740090028907</v>
      </c>
      <c r="K71" s="10">
        <f t="shared" si="13"/>
        <v>0.05912048247494862</v>
      </c>
      <c r="L71" s="10">
        <f t="shared" si="13"/>
        <v>0.0779528569805624</v>
      </c>
      <c r="M71" s="10">
        <f t="shared" si="6"/>
        <v>0.9999999999999999</v>
      </c>
    </row>
  </sheetData>
  <sheetProtection/>
  <mergeCells count="1">
    <mergeCell ref="E3:K3"/>
  </mergeCells>
  <printOptions horizontalCentered="1"/>
  <pageMargins left="0.7480314960629921" right="0.2362204724409449" top="0.7480314960629921" bottom="0.2362204724409449" header="0.3937007874015748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1">
      <selection activeCell="N24" sqref="N24"/>
    </sheetView>
  </sheetViews>
  <sheetFormatPr defaultColWidth="11.421875" defaultRowHeight="15"/>
  <cols>
    <col min="1" max="1" width="16.00390625" style="1" customWidth="1"/>
    <col min="2" max="2" width="11.7109375" style="1" customWidth="1"/>
    <col min="3" max="3" width="11.421875" style="1" customWidth="1"/>
    <col min="4" max="4" width="7.7109375" style="1" customWidth="1"/>
    <col min="5" max="5" width="9.7109375" style="1" customWidth="1"/>
    <col min="6" max="6" width="11.57421875" style="1" customWidth="1"/>
    <col min="7" max="7" width="11.421875" style="1" customWidth="1"/>
    <col min="8" max="8" width="9.421875" style="1" customWidth="1"/>
    <col min="9" max="9" width="11.28125" style="1" customWidth="1"/>
    <col min="10" max="10" width="9.28125" style="1" customWidth="1"/>
    <col min="11" max="11" width="9.8515625" style="1" customWidth="1"/>
    <col min="12" max="12" width="7.140625" style="1" customWidth="1"/>
    <col min="13" max="13" width="9.8515625" style="1" customWidth="1"/>
    <col min="14" max="14" width="11.7109375" style="1" customWidth="1"/>
    <col min="15" max="15" width="11.140625" style="1" customWidth="1"/>
    <col min="16" max="16" width="12.57421875" style="1" customWidth="1"/>
    <col min="17" max="17" width="12.28125" style="1" customWidth="1"/>
    <col min="18" max="19" width="13.8515625" style="1" bestFit="1" customWidth="1"/>
    <col min="20" max="16384" width="11.421875" style="1" customWidth="1"/>
  </cols>
  <sheetData>
    <row r="2" spans="1:15" ht="18">
      <c r="A2" s="138" t="s">
        <v>0</v>
      </c>
      <c r="B2" s="196" t="s">
        <v>98</v>
      </c>
      <c r="C2" s="196"/>
      <c r="D2" s="201"/>
      <c r="E2" s="201"/>
      <c r="I2" s="20" t="s">
        <v>23</v>
      </c>
      <c r="J2" s="20"/>
      <c r="K2" s="142">
        <v>41609</v>
      </c>
      <c r="L2" s="114"/>
      <c r="M2" s="114"/>
      <c r="O2" s="19"/>
    </row>
    <row r="3" spans="2:4" ht="6.75" customHeight="1">
      <c r="B3" s="202"/>
      <c r="C3" s="202"/>
      <c r="D3" s="64"/>
    </row>
    <row r="4" ht="17.25" thickBot="1"/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203" t="s">
        <v>4</v>
      </c>
      <c r="I5" s="204"/>
      <c r="J5" s="203" t="s">
        <v>32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9" ht="16.5">
      <c r="A7" s="176" t="s">
        <v>14</v>
      </c>
      <c r="B7" s="177">
        <f>1587422-147909.53+260000</f>
        <v>1699512.47</v>
      </c>
      <c r="C7" s="177">
        <f>97119.03+1181871.06+9765.28+97753.26+5425.46+23871.19+26312.45+95414.9</f>
        <v>1537532.63</v>
      </c>
      <c r="D7" s="178">
        <v>31000</v>
      </c>
      <c r="E7" s="177">
        <f>4700.1+62877.87+2126.9+142.61+5505.78</f>
        <v>75353.26</v>
      </c>
      <c r="F7" s="177">
        <f>899025-32807.36+420000</f>
        <v>1286217.6400000001</v>
      </c>
      <c r="G7" s="177">
        <f>94771.19+1479739.92+2861.87+1200+21098.99</f>
        <v>1599671.97</v>
      </c>
      <c r="H7" s="179">
        <f>534660-48000+450000+2000000</f>
        <v>2936660</v>
      </c>
      <c r="I7" s="180">
        <f>10773.74+1112382.61+925+7479</f>
        <v>1131560.35</v>
      </c>
      <c r="J7" s="179">
        <v>13500</v>
      </c>
      <c r="K7" s="180">
        <f>30551.58+16168</f>
        <v>46719.58</v>
      </c>
      <c r="L7" s="179">
        <v>0</v>
      </c>
      <c r="M7" s="180">
        <f>20433.67+8231.59</f>
        <v>28665.26</v>
      </c>
      <c r="N7" s="177">
        <f>700000+395816.89</f>
        <v>1095816.8900000001</v>
      </c>
      <c r="O7" s="177">
        <v>640333.23</v>
      </c>
      <c r="P7" s="181">
        <f>+O7+K7+I7+G7+E7+C7+M7</f>
        <v>5059836.279999999</v>
      </c>
      <c r="Q7" s="181">
        <f>+B7+D7+F7+H7+J7+N7-P7+L7</f>
        <v>2002870.7200000007</v>
      </c>
      <c r="R7" s="5"/>
      <c r="S7" s="5"/>
    </row>
    <row r="8" spans="1:19" ht="16.5">
      <c r="A8" s="176" t="s">
        <v>122</v>
      </c>
      <c r="B8" s="178">
        <v>213552</v>
      </c>
      <c r="C8" s="177">
        <f>22404.66+264456.23</f>
        <v>286860.88999999996</v>
      </c>
      <c r="D8" s="178">
        <v>3000</v>
      </c>
      <c r="E8" s="177">
        <v>469.25</v>
      </c>
      <c r="F8" s="178">
        <v>33000</v>
      </c>
      <c r="G8" s="177">
        <f>8000+77824.92</f>
        <v>85824.92</v>
      </c>
      <c r="H8" s="179">
        <v>10500</v>
      </c>
      <c r="I8" s="180">
        <f>0.09+6376.9</f>
        <v>6376.99</v>
      </c>
      <c r="J8" s="179">
        <v>0</v>
      </c>
      <c r="K8" s="180">
        <v>99</v>
      </c>
      <c r="L8" s="179">
        <v>0</v>
      </c>
      <c r="M8" s="180">
        <v>0</v>
      </c>
      <c r="N8" s="178">
        <v>0</v>
      </c>
      <c r="O8" s="182">
        <v>0</v>
      </c>
      <c r="P8" s="181">
        <f>+O8+K8+I8+G8+E8+C8+M8</f>
        <v>379631.04999999993</v>
      </c>
      <c r="Q8" s="181">
        <f>+B8+D8+F8+H8+J8+N8-P8</f>
        <v>-119579.04999999993</v>
      </c>
      <c r="S8" s="5"/>
    </row>
    <row r="9" spans="1:19" ht="16.5">
      <c r="A9" s="176" t="s">
        <v>124</v>
      </c>
      <c r="B9" s="178">
        <v>364780</v>
      </c>
      <c r="C9" s="177">
        <f>53693+429277.88</f>
        <v>482970.88</v>
      </c>
      <c r="D9" s="178">
        <v>16000</v>
      </c>
      <c r="E9" s="177">
        <v>5460</v>
      </c>
      <c r="F9" s="178">
        <v>15000</v>
      </c>
      <c r="G9" s="177">
        <v>899.69</v>
      </c>
      <c r="H9" s="179">
        <v>0</v>
      </c>
      <c r="I9" s="180">
        <v>0</v>
      </c>
      <c r="J9" s="179">
        <v>8000</v>
      </c>
      <c r="K9" s="180">
        <v>6650</v>
      </c>
      <c r="L9" s="179">
        <v>0</v>
      </c>
      <c r="M9" s="180">
        <v>0</v>
      </c>
      <c r="N9" s="178">
        <v>0</v>
      </c>
      <c r="O9" s="182">
        <v>0</v>
      </c>
      <c r="P9" s="181">
        <f>+O9+K9+I9+G9+E9+C9+M9</f>
        <v>495980.57</v>
      </c>
      <c r="Q9" s="181">
        <f>+B9+D9+F9+H9+J9+N9-P9</f>
        <v>-92200.57</v>
      </c>
      <c r="S9" s="5"/>
    </row>
    <row r="10" spans="1:17" ht="16.5">
      <c r="A10" s="176" t="s">
        <v>119</v>
      </c>
      <c r="B10" s="178">
        <v>0</v>
      </c>
      <c r="C10" s="177">
        <v>0</v>
      </c>
      <c r="D10" s="178">
        <v>5000</v>
      </c>
      <c r="E10" s="177">
        <v>4963.74</v>
      </c>
      <c r="F10" s="178">
        <v>432400</v>
      </c>
      <c r="G10" s="177">
        <v>140809.8</v>
      </c>
      <c r="H10" s="179">
        <v>0</v>
      </c>
      <c r="I10" s="180">
        <v>0</v>
      </c>
      <c r="J10" s="179">
        <v>3000</v>
      </c>
      <c r="K10" s="180">
        <v>0</v>
      </c>
      <c r="L10" s="179">
        <v>0</v>
      </c>
      <c r="M10" s="180">
        <v>0</v>
      </c>
      <c r="N10" s="178">
        <v>0</v>
      </c>
      <c r="O10" s="182">
        <v>0</v>
      </c>
      <c r="P10" s="181">
        <f>+O10+K10+I10+G10+E10+C10+M10</f>
        <v>145773.53999999998</v>
      </c>
      <c r="Q10" s="181">
        <f>+B10+D10+F10+H10+J10+N10-P10</f>
        <v>294626.46</v>
      </c>
    </row>
    <row r="11" spans="1:17" ht="16.5">
      <c r="A11" s="176" t="s">
        <v>81</v>
      </c>
      <c r="B11" s="178">
        <v>439349</v>
      </c>
      <c r="C11" s="177">
        <f>15313.71+283703.6</f>
        <v>299017.31</v>
      </c>
      <c r="D11" s="178">
        <v>0</v>
      </c>
      <c r="E11" s="177">
        <v>11440.95</v>
      </c>
      <c r="F11" s="178">
        <v>20000</v>
      </c>
      <c r="G11" s="177">
        <f>3758+87421.11</f>
        <v>91179.11</v>
      </c>
      <c r="H11" s="179">
        <v>0</v>
      </c>
      <c r="I11" s="180">
        <v>0</v>
      </c>
      <c r="J11" s="179">
        <v>0</v>
      </c>
      <c r="K11" s="180">
        <f>7520+5199</f>
        <v>12719</v>
      </c>
      <c r="L11" s="179">
        <v>0</v>
      </c>
      <c r="M11" s="180">
        <v>0</v>
      </c>
      <c r="N11" s="178">
        <v>0</v>
      </c>
      <c r="O11" s="182">
        <v>16805.43</v>
      </c>
      <c r="P11" s="181">
        <f>+O11+K11+I11+G11+E11+C11</f>
        <v>431161.80000000005</v>
      </c>
      <c r="Q11" s="181">
        <f>+B11+D11+F11+H11+J11+N11-P11</f>
        <v>28187.199999999953</v>
      </c>
    </row>
    <row r="12" spans="1:18" ht="16.5">
      <c r="A12" s="176" t="s">
        <v>82</v>
      </c>
      <c r="B12" s="178">
        <v>634617</v>
      </c>
      <c r="C12" s="177">
        <f>80814.3+715705.72</f>
        <v>796520.02</v>
      </c>
      <c r="D12" s="178">
        <v>0</v>
      </c>
      <c r="E12" s="177">
        <v>5595.65</v>
      </c>
      <c r="F12" s="178">
        <f>257000-18000</f>
        <v>239000</v>
      </c>
      <c r="G12" s="177">
        <v>301674.73</v>
      </c>
      <c r="H12" s="179">
        <v>0</v>
      </c>
      <c r="I12" s="180">
        <f>-0.09+363</f>
        <v>362.91</v>
      </c>
      <c r="J12" s="179">
        <v>30000</v>
      </c>
      <c r="K12" s="180">
        <v>403</v>
      </c>
      <c r="L12" s="179">
        <v>0</v>
      </c>
      <c r="M12" s="180">
        <v>0</v>
      </c>
      <c r="N12" s="178">
        <v>0</v>
      </c>
      <c r="O12" s="182">
        <v>50158.08</v>
      </c>
      <c r="P12" s="181">
        <f>+O12+K12+I12+G12+E12+C12+M12</f>
        <v>1154714.3900000001</v>
      </c>
      <c r="Q12" s="181">
        <f aca="true" t="shared" si="0" ref="Q12:Q17">+B12+D12+F12+H12+J12+N12-P12</f>
        <v>-251097.39000000013</v>
      </c>
      <c r="R12" s="5"/>
    </row>
    <row r="13" spans="1:17" ht="16.5">
      <c r="A13" s="176" t="s">
        <v>74</v>
      </c>
      <c r="B13" s="178">
        <v>1273193</v>
      </c>
      <c r="C13" s="177">
        <f>45984.32+587548.34+43286.96+404364.41+11956.59+118254.47+5632.66+32894.13</f>
        <v>1249921.8799999997</v>
      </c>
      <c r="D13" s="178">
        <f>12000-1000</f>
        <v>11000</v>
      </c>
      <c r="E13" s="177">
        <v>1917.15</v>
      </c>
      <c r="F13" s="178">
        <v>56933</v>
      </c>
      <c r="G13" s="180">
        <f>44980.3+8+243+326.41</f>
        <v>45557.71000000001</v>
      </c>
      <c r="H13" s="179">
        <v>0</v>
      </c>
      <c r="I13" s="180">
        <v>0</v>
      </c>
      <c r="J13" s="179">
        <v>6200</v>
      </c>
      <c r="K13" s="180">
        <f>4040+5860</f>
        <v>9900</v>
      </c>
      <c r="L13" s="179">
        <v>0</v>
      </c>
      <c r="M13" s="180">
        <v>0</v>
      </c>
      <c r="N13" s="178">
        <v>0</v>
      </c>
      <c r="O13" s="182">
        <v>60337.83</v>
      </c>
      <c r="P13" s="181">
        <f>+O13+K13+I13+G13+E13+C13+M13</f>
        <v>1367634.5699999996</v>
      </c>
      <c r="Q13" s="181">
        <f t="shared" si="0"/>
        <v>-20308.5699999996</v>
      </c>
    </row>
    <row r="14" spans="1:17" ht="16.5">
      <c r="A14" s="176" t="s">
        <v>99</v>
      </c>
      <c r="B14" s="178">
        <f>1473070-200000+200000</f>
        <v>1473070</v>
      </c>
      <c r="C14" s="177">
        <f>146133.57+1400943.01</f>
        <v>1547076.58</v>
      </c>
      <c r="D14" s="178">
        <v>28000</v>
      </c>
      <c r="E14" s="177">
        <v>34365.05</v>
      </c>
      <c r="F14" s="178">
        <v>129300</v>
      </c>
      <c r="G14" s="177">
        <f>42652.5+168492.79</f>
        <v>211145.29</v>
      </c>
      <c r="H14" s="179">
        <v>0</v>
      </c>
      <c r="I14" s="180">
        <v>0</v>
      </c>
      <c r="J14" s="179">
        <v>20100</v>
      </c>
      <c r="K14" s="180">
        <v>14029</v>
      </c>
      <c r="L14" s="179">
        <v>0</v>
      </c>
      <c r="M14" s="180">
        <v>0</v>
      </c>
      <c r="N14" s="178">
        <v>0</v>
      </c>
      <c r="O14" s="182">
        <v>88936.94</v>
      </c>
      <c r="P14" s="181">
        <f>+O14+K14+I14+G14+E14+C14+M14</f>
        <v>1895552.86</v>
      </c>
      <c r="Q14" s="181">
        <f t="shared" si="0"/>
        <v>-245082.8600000001</v>
      </c>
    </row>
    <row r="15" spans="1:18" ht="16.5">
      <c r="A15" s="193" t="s">
        <v>126</v>
      </c>
      <c r="B15" s="179">
        <v>756638</v>
      </c>
      <c r="C15" s="180">
        <f>72847.15+791087.21</f>
        <v>863934.36</v>
      </c>
      <c r="D15" s="179">
        <v>7200</v>
      </c>
      <c r="E15" s="180">
        <v>6807.68</v>
      </c>
      <c r="F15" s="179">
        <f>236217-30000</f>
        <v>206217</v>
      </c>
      <c r="G15" s="180">
        <v>214175.14</v>
      </c>
      <c r="H15" s="179">
        <v>0</v>
      </c>
      <c r="I15" s="180">
        <v>9532.69</v>
      </c>
      <c r="J15" s="179">
        <f>5750+1450000</f>
        <v>1455750</v>
      </c>
      <c r="K15" s="180">
        <f>12510+209292.27</f>
        <v>221802.27</v>
      </c>
      <c r="L15" s="179">
        <v>0</v>
      </c>
      <c r="M15" s="180">
        <f>19286.6+157792.68</f>
        <v>177079.28</v>
      </c>
      <c r="N15" s="179">
        <v>0</v>
      </c>
      <c r="O15" s="194">
        <v>40390.33</v>
      </c>
      <c r="P15" s="195">
        <f>+O15+K15+I15+G15+E15+C15+M15</f>
        <v>1533721.75</v>
      </c>
      <c r="Q15" s="195">
        <f t="shared" si="0"/>
        <v>892083.25</v>
      </c>
      <c r="R15" s="5"/>
    </row>
    <row r="16" spans="1:18" ht="16.5">
      <c r="A16" s="193" t="s">
        <v>125</v>
      </c>
      <c r="B16" s="179">
        <f>1872398-265000+200000</f>
        <v>1807398</v>
      </c>
      <c r="C16" s="180">
        <f>173937.65+1992606.79+6129.24+3324.69</f>
        <v>2175998.37</v>
      </c>
      <c r="D16" s="179">
        <v>55500</v>
      </c>
      <c r="E16" s="180">
        <f>3786.01+51097.57+1028</f>
        <v>55911.58</v>
      </c>
      <c r="F16" s="179">
        <f>156380-2000</f>
        <v>154380</v>
      </c>
      <c r="G16" s="180">
        <v>90152.14</v>
      </c>
      <c r="H16" s="179">
        <v>230000</v>
      </c>
      <c r="I16" s="180">
        <f>52392.81+2500</f>
        <v>54892.81</v>
      </c>
      <c r="J16" s="179">
        <v>74500</v>
      </c>
      <c r="K16" s="180">
        <v>17082.33</v>
      </c>
      <c r="L16" s="179">
        <f>45000-6100</f>
        <v>38900</v>
      </c>
      <c r="M16" s="180">
        <v>0</v>
      </c>
      <c r="N16" s="179">
        <v>0</v>
      </c>
      <c r="O16" s="194">
        <v>84144.65</v>
      </c>
      <c r="P16" s="195">
        <f>+O16+K16+I16+G16+E16+C16</f>
        <v>2478181.88</v>
      </c>
      <c r="Q16" s="195">
        <f>+B16+D16+F16+H16+J16+N16-P16+L16</f>
        <v>-117503.87999999989</v>
      </c>
      <c r="R16" s="5"/>
    </row>
    <row r="17" spans="1:17" ht="16.5">
      <c r="A17" s="176" t="s">
        <v>77</v>
      </c>
      <c r="B17" s="178">
        <v>885423</v>
      </c>
      <c r="C17" s="177">
        <f>89601.69+829389.35</f>
        <v>918991.04</v>
      </c>
      <c r="D17" s="178">
        <v>0</v>
      </c>
      <c r="E17" s="177">
        <v>21443.32</v>
      </c>
      <c r="F17" s="178">
        <f>1168000-45000+1100000</f>
        <v>2223000</v>
      </c>
      <c r="G17" s="177">
        <f>182008.19+2133125.78</f>
        <v>2315133.9699999997</v>
      </c>
      <c r="H17" s="179">
        <v>130000</v>
      </c>
      <c r="I17" s="180">
        <f>19961.38+872015.2</f>
        <v>891976.58</v>
      </c>
      <c r="J17" s="179">
        <v>3500</v>
      </c>
      <c r="K17" s="180">
        <v>28820.99</v>
      </c>
      <c r="L17" s="179">
        <v>0</v>
      </c>
      <c r="M17" s="180">
        <v>0</v>
      </c>
      <c r="N17" s="178">
        <v>0</v>
      </c>
      <c r="O17" s="182">
        <f>1320+101380.92</f>
        <v>102700.92</v>
      </c>
      <c r="P17" s="181">
        <f>+O17+K17+I17+G17+E17+C17+M17</f>
        <v>4279066.82</v>
      </c>
      <c r="Q17" s="181">
        <f t="shared" si="0"/>
        <v>-1037143.8200000003</v>
      </c>
    </row>
    <row r="18" spans="1:17" ht="17.25" thickBot="1">
      <c r="A18" s="37" t="s">
        <v>11</v>
      </c>
      <c r="B18" s="187">
        <f aca="true" t="shared" si="1" ref="B18:Q18">SUM(B7:B17)</f>
        <v>9547532.469999999</v>
      </c>
      <c r="C18" s="188">
        <f t="shared" si="1"/>
        <v>10158823.96</v>
      </c>
      <c r="D18" s="189">
        <f t="shared" si="1"/>
        <v>156700</v>
      </c>
      <c r="E18" s="188">
        <f t="shared" si="1"/>
        <v>223727.63</v>
      </c>
      <c r="F18" s="187">
        <f t="shared" si="1"/>
        <v>4795447.640000001</v>
      </c>
      <c r="G18" s="188">
        <f t="shared" si="1"/>
        <v>5096224.47</v>
      </c>
      <c r="H18" s="189">
        <f t="shared" si="1"/>
        <v>3307160</v>
      </c>
      <c r="I18" s="188">
        <f t="shared" si="1"/>
        <v>2094702.33</v>
      </c>
      <c r="J18" s="189">
        <f t="shared" si="1"/>
        <v>1614550</v>
      </c>
      <c r="K18" s="188">
        <f t="shared" si="1"/>
        <v>358225.17</v>
      </c>
      <c r="L18" s="189">
        <f t="shared" si="1"/>
        <v>38900</v>
      </c>
      <c r="M18" s="188">
        <f t="shared" si="1"/>
        <v>205744.54</v>
      </c>
      <c r="N18" s="187">
        <f t="shared" si="1"/>
        <v>1095816.8900000001</v>
      </c>
      <c r="O18" s="188">
        <f t="shared" si="1"/>
        <v>1083807.41</v>
      </c>
      <c r="P18" s="190">
        <f t="shared" si="1"/>
        <v>19221255.509999998</v>
      </c>
      <c r="Q18" s="190">
        <f t="shared" si="1"/>
        <v>1334851.4900000007</v>
      </c>
    </row>
    <row r="19" spans="1:17" ht="17.25" thickBot="1">
      <c r="A19" s="41" t="s">
        <v>30</v>
      </c>
      <c r="B19" s="42"/>
      <c r="C19" s="131">
        <f>+C18/B18</f>
        <v>1.064026123181124</v>
      </c>
      <c r="D19" s="44"/>
      <c r="E19" s="131">
        <f>+E18/D18</f>
        <v>1.4277449266113593</v>
      </c>
      <c r="F19" s="131"/>
      <c r="G19" s="131">
        <f>+G18/F18</f>
        <v>1.0627213250106509</v>
      </c>
      <c r="H19" s="131"/>
      <c r="I19" s="131">
        <f>+I18/H18</f>
        <v>0.6333840304067538</v>
      </c>
      <c r="J19" s="131"/>
      <c r="K19" s="131">
        <f>+K18/J18</f>
        <v>0.22187307299247466</v>
      </c>
      <c r="L19" s="154"/>
      <c r="M19" s="139">
        <f>+M18/L18</f>
        <v>5.289062724935733</v>
      </c>
      <c r="N19" s="131"/>
      <c r="O19" s="133">
        <f>+O18/N18</f>
        <v>0.9890406142580991</v>
      </c>
      <c r="P19" s="55"/>
      <c r="Q19" s="55"/>
    </row>
    <row r="20" spans="1:17" ht="8.25" customHeight="1">
      <c r="A20" s="47"/>
      <c r="B20" s="4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6:17" ht="16.5">
      <c r="P21" s="49"/>
      <c r="Q21" s="5"/>
    </row>
    <row r="23" ht="17.25">
      <c r="P23" s="171"/>
    </row>
    <row r="24" spans="15:16" ht="16.5">
      <c r="O24" s="74"/>
      <c r="P24" s="66"/>
    </row>
    <row r="25" ht="16.5">
      <c r="P25" s="55"/>
    </row>
    <row r="26" ht="16.5">
      <c r="P26" s="55"/>
    </row>
    <row r="27" ht="16.5">
      <c r="P27" s="55"/>
    </row>
    <row r="41" spans="1:6" ht="16.5">
      <c r="A41" s="50"/>
      <c r="B41" s="50"/>
      <c r="C41" s="50"/>
      <c r="D41" s="50"/>
      <c r="E41" s="50"/>
      <c r="F41" s="50"/>
    </row>
    <row r="43" spans="3:6" ht="16.5">
      <c r="C43" s="49"/>
      <c r="D43" s="5"/>
      <c r="E43" s="50"/>
      <c r="F43" s="50"/>
    </row>
    <row r="44" spans="3:6" ht="16.5">
      <c r="C44" s="49"/>
      <c r="D44" s="5"/>
      <c r="E44" s="50"/>
      <c r="F44" s="50"/>
    </row>
    <row r="45" spans="3:6" ht="16.5">
      <c r="C45" s="49"/>
      <c r="D45" s="5"/>
      <c r="E45" s="50"/>
      <c r="F45" s="50"/>
    </row>
    <row r="46" spans="3:6" ht="16.5">
      <c r="C46" s="49"/>
      <c r="D46" s="5"/>
      <c r="E46" s="50"/>
      <c r="F46" s="50"/>
    </row>
    <row r="47" spans="3:6" ht="16.5">
      <c r="C47" s="49"/>
      <c r="D47" s="5"/>
      <c r="E47" s="50"/>
      <c r="F47" s="50"/>
    </row>
    <row r="48" spans="3:6" ht="16.5">
      <c r="C48" s="49"/>
      <c r="D48" s="5"/>
      <c r="E48" s="50"/>
      <c r="F48" s="50"/>
    </row>
    <row r="49" spans="3:6" ht="16.5">
      <c r="C49" s="49"/>
      <c r="D49" s="5"/>
      <c r="E49" s="50"/>
      <c r="F49" s="50"/>
    </row>
    <row r="50" ht="16.5">
      <c r="C50" s="46"/>
    </row>
    <row r="52" spans="1:4" ht="16.5">
      <c r="A52" s="59" t="s">
        <v>26</v>
      </c>
      <c r="B52" s="67" t="s">
        <v>27</v>
      </c>
      <c r="C52" s="59" t="s">
        <v>28</v>
      </c>
      <c r="D52" s="59"/>
    </row>
    <row r="53" spans="1:3" ht="17.25">
      <c r="A53" s="61">
        <f>+B18</f>
        <v>9547532.469999999</v>
      </c>
      <c r="B53" s="62">
        <f>+C18</f>
        <v>10158823.96</v>
      </c>
      <c r="C53" s="59" t="s">
        <v>1</v>
      </c>
    </row>
    <row r="54" spans="1:3" ht="17.25">
      <c r="A54" s="61">
        <f>+D18</f>
        <v>156700</v>
      </c>
      <c r="B54" s="62">
        <f>+E18</f>
        <v>223727.63</v>
      </c>
      <c r="C54" s="59" t="s">
        <v>2</v>
      </c>
    </row>
    <row r="55" spans="1:3" ht="17.25">
      <c r="A55" s="61">
        <f>+F18</f>
        <v>4795447.640000001</v>
      </c>
      <c r="B55" s="62">
        <f>+G18</f>
        <v>5096224.47</v>
      </c>
      <c r="C55" s="59" t="s">
        <v>3</v>
      </c>
    </row>
    <row r="56" spans="1:3" ht="17.25">
      <c r="A56" s="61">
        <f>+H18</f>
        <v>3307160</v>
      </c>
      <c r="B56" s="62">
        <f>+I18</f>
        <v>2094702.33</v>
      </c>
      <c r="C56" s="59" t="s">
        <v>34</v>
      </c>
    </row>
    <row r="57" spans="1:3" ht="17.25">
      <c r="A57" s="61">
        <f>+J18</f>
        <v>1614550</v>
      </c>
      <c r="B57" s="62">
        <f>+K18</f>
        <v>358225.17</v>
      </c>
      <c r="C57" s="59" t="s">
        <v>32</v>
      </c>
    </row>
    <row r="58" spans="1:3" ht="17.25">
      <c r="A58" s="61">
        <v>0</v>
      </c>
      <c r="B58" s="62">
        <f>+M18</f>
        <v>205744.54</v>
      </c>
      <c r="C58" s="59" t="s">
        <v>96</v>
      </c>
    </row>
    <row r="59" spans="1:3" ht="17.25">
      <c r="A59" s="61">
        <f>+N18</f>
        <v>1095816.8900000001</v>
      </c>
      <c r="B59" s="62">
        <f>+O18</f>
        <v>1083807.41</v>
      </c>
      <c r="C59" s="59" t="s">
        <v>35</v>
      </c>
    </row>
    <row r="60" spans="1:3" ht="17.25">
      <c r="A60" s="61"/>
      <c r="B60" s="61"/>
      <c r="C60" s="59"/>
    </row>
    <row r="61" spans="1:3" ht="17.25">
      <c r="A61" s="61">
        <v>866913</v>
      </c>
      <c r="B61" s="62">
        <v>406071.92</v>
      </c>
      <c r="C61" s="59"/>
    </row>
    <row r="62" spans="1:3" ht="17.25">
      <c r="A62" s="61"/>
      <c r="B62" s="61"/>
      <c r="C62" s="59"/>
    </row>
    <row r="63" spans="1:2" ht="17.25">
      <c r="A63" s="61"/>
      <c r="B63" s="61"/>
    </row>
    <row r="64" spans="1:2" ht="17.25">
      <c r="A64" s="61"/>
      <c r="B64" s="61"/>
    </row>
    <row r="65" spans="1:2" ht="17.25">
      <c r="A65" s="61"/>
      <c r="B65" s="61"/>
    </row>
    <row r="66" spans="1:2" ht="17.25">
      <c r="A66" s="61"/>
      <c r="B66" s="61"/>
    </row>
    <row r="67" spans="1:2" ht="17.25">
      <c r="A67" s="61"/>
      <c r="B67" s="61"/>
    </row>
    <row r="68" spans="1:2" ht="17.25">
      <c r="A68" s="61"/>
      <c r="B68" s="61"/>
    </row>
    <row r="69" spans="1:2" ht="17.25">
      <c r="A69" s="61"/>
      <c r="B69" s="61"/>
    </row>
    <row r="70" spans="1:2" ht="17.25">
      <c r="A70" s="61"/>
      <c r="B70" s="61"/>
    </row>
    <row r="71" spans="1:2" ht="17.25">
      <c r="A71" s="61"/>
      <c r="B71" s="61"/>
    </row>
    <row r="72" spans="1:2" ht="17.25">
      <c r="A72" s="61"/>
      <c r="B72" s="61"/>
    </row>
    <row r="73" spans="1:2" ht="17.25">
      <c r="A73" s="61"/>
      <c r="B73" s="61"/>
    </row>
    <row r="74" spans="1:2" ht="17.25">
      <c r="A74" s="61"/>
      <c r="B74" s="61"/>
    </row>
    <row r="75" spans="1:2" ht="17.25">
      <c r="A75" s="61"/>
      <c r="B75" s="61"/>
    </row>
    <row r="76" spans="1:2" ht="17.25">
      <c r="A76" s="61"/>
      <c r="B76" s="61"/>
    </row>
    <row r="77" spans="1:2" ht="17.25">
      <c r="A77" s="61"/>
      <c r="B77" s="61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31496062992125984" right="0" top="0.4724409448818898" bottom="0.5511811023622047" header="0.196850393700787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4">
      <selection activeCell="P17" sqref="P17"/>
    </sheetView>
  </sheetViews>
  <sheetFormatPr defaultColWidth="11.421875" defaultRowHeight="15"/>
  <cols>
    <col min="1" max="1" width="15.00390625" style="1" customWidth="1"/>
    <col min="2" max="2" width="12.00390625" style="1" customWidth="1"/>
    <col min="3" max="3" width="12.140625" style="1" customWidth="1"/>
    <col min="4" max="4" width="9.421875" style="1" customWidth="1"/>
    <col min="5" max="5" width="12.00390625" style="1" customWidth="1"/>
    <col min="6" max="6" width="9.28125" style="1" customWidth="1"/>
    <col min="7" max="7" width="12.421875" style="1" customWidth="1"/>
    <col min="8" max="8" width="6.140625" style="1" customWidth="1"/>
    <col min="9" max="9" width="9.7109375" style="1" customWidth="1"/>
    <col min="10" max="10" width="7.57421875" style="1" customWidth="1"/>
    <col min="11" max="11" width="10.8515625" style="1" customWidth="1"/>
    <col min="12" max="12" width="7.28125" style="1" customWidth="1"/>
    <col min="13" max="13" width="9.28125" style="1" customWidth="1"/>
    <col min="14" max="14" width="9.421875" style="1" customWidth="1"/>
    <col min="15" max="15" width="12.28125" style="1" customWidth="1"/>
    <col min="16" max="16" width="13.140625" style="1" customWidth="1"/>
    <col min="17" max="17" width="12.28125" style="1" customWidth="1"/>
    <col min="18" max="18" width="11.28125" style="1" customWidth="1"/>
    <col min="19" max="16384" width="11.421875" style="1" customWidth="1"/>
  </cols>
  <sheetData>
    <row r="1" spans="14:15" ht="16.5">
      <c r="N1" s="68"/>
      <c r="O1" s="68"/>
    </row>
    <row r="2" spans="1:15" ht="18">
      <c r="A2" s="138" t="s">
        <v>0</v>
      </c>
      <c r="B2" s="196" t="s">
        <v>118</v>
      </c>
      <c r="C2" s="208"/>
      <c r="D2" s="208"/>
      <c r="E2" s="208"/>
      <c r="F2" s="208"/>
      <c r="G2" s="209"/>
      <c r="L2" s="205" t="s">
        <v>23</v>
      </c>
      <c r="M2" s="206"/>
      <c r="N2" s="142">
        <v>41609</v>
      </c>
      <c r="O2" s="69"/>
    </row>
    <row r="3" spans="2:5" ht="12.75" customHeight="1">
      <c r="B3" s="207"/>
      <c r="C3" s="207"/>
      <c r="D3" s="207"/>
      <c r="E3" s="207"/>
    </row>
    <row r="4" spans="15:16" ht="18" thickBot="1">
      <c r="O4" s="70"/>
      <c r="P4" s="62"/>
    </row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71" t="s">
        <v>89</v>
      </c>
      <c r="I5" s="71"/>
      <c r="J5" s="203" t="s">
        <v>32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8" ht="17.25">
      <c r="A7" s="30" t="s">
        <v>14</v>
      </c>
      <c r="B7" s="157">
        <f>964631-106506.35</f>
        <v>858124.65</v>
      </c>
      <c r="C7" s="32">
        <f>22631.73+315071.52+10308.5+100391.49+196044.49+91002.74+29686.58+101026.68</f>
        <v>866163.73</v>
      </c>
      <c r="D7" s="65">
        <v>0</v>
      </c>
      <c r="E7" s="32">
        <v>6349.36</v>
      </c>
      <c r="F7" s="65">
        <v>25000</v>
      </c>
      <c r="G7" s="32">
        <f>5097.42+152770.09+1840+11735.3</f>
        <v>171442.81</v>
      </c>
      <c r="H7" s="65">
        <v>0</v>
      </c>
      <c r="I7" s="32">
        <v>0</v>
      </c>
      <c r="J7" s="65">
        <v>4800</v>
      </c>
      <c r="K7" s="32">
        <v>0</v>
      </c>
      <c r="L7" s="65">
        <v>0</v>
      </c>
      <c r="M7" s="32">
        <v>0</v>
      </c>
      <c r="N7" s="65">
        <f>2630000+162959.53-1200000</f>
        <v>1592959.5299999998</v>
      </c>
      <c r="O7" s="32">
        <v>853690.63</v>
      </c>
      <c r="P7" s="33">
        <f>+C7+E7+G7+K7+O7+I7</f>
        <v>1897646.5299999998</v>
      </c>
      <c r="Q7" s="33">
        <f aca="true" t="shared" si="0" ref="Q7:Q12">+B7+D7+F7+J7+N7+H7-P7</f>
        <v>583237.6499999999</v>
      </c>
      <c r="R7" s="149"/>
    </row>
    <row r="8" spans="1:17" ht="17.25">
      <c r="A8" s="30" t="s">
        <v>6</v>
      </c>
      <c r="B8" s="31">
        <v>799235</v>
      </c>
      <c r="C8" s="32">
        <f>48365.04+574283.87+108002.49</f>
        <v>730651.4</v>
      </c>
      <c r="D8" s="65">
        <v>4000</v>
      </c>
      <c r="E8" s="32">
        <f>366+78</f>
        <v>444</v>
      </c>
      <c r="F8" s="93">
        <f>1239410+994000</f>
        <v>2233410</v>
      </c>
      <c r="G8" s="76">
        <f>2305315.11+440-1840+4237.35</f>
        <v>2308152.46</v>
      </c>
      <c r="H8" s="65">
        <v>0</v>
      </c>
      <c r="I8" s="32">
        <v>0</v>
      </c>
      <c r="J8" s="65">
        <v>10000</v>
      </c>
      <c r="K8" s="32">
        <f>4330+8077.04</f>
        <v>12407.04</v>
      </c>
      <c r="L8" s="65">
        <v>0</v>
      </c>
      <c r="M8" s="32">
        <v>0</v>
      </c>
      <c r="N8" s="65">
        <v>0</v>
      </c>
      <c r="O8" s="32">
        <v>33512.47</v>
      </c>
      <c r="P8" s="33">
        <f>+C8+E8+G8+K8+O8+I8</f>
        <v>3085167.37</v>
      </c>
      <c r="Q8" s="33">
        <f t="shared" si="0"/>
        <v>-38522.37000000011</v>
      </c>
    </row>
    <row r="9" spans="1:17" ht="17.25">
      <c r="A9" s="30" t="s">
        <v>95</v>
      </c>
      <c r="B9" s="157">
        <f>1899088-49303.18+300000</f>
        <v>2149784.8200000003</v>
      </c>
      <c r="C9" s="32">
        <f>63303.64+1048281.46+30427.31+301596.52+60190.24+23995.68+189636.69</f>
        <v>1717431.5399999998</v>
      </c>
      <c r="D9" s="65">
        <v>7500</v>
      </c>
      <c r="E9" s="32">
        <f>1293.2+19039.24</f>
        <v>20332.440000000002</v>
      </c>
      <c r="F9" s="65">
        <v>77200</v>
      </c>
      <c r="G9" s="32">
        <f>97133.73+5000+24000+2900</f>
        <v>129033.73</v>
      </c>
      <c r="H9" s="65">
        <v>0</v>
      </c>
      <c r="I9" s="32">
        <v>0</v>
      </c>
      <c r="J9" s="65">
        <v>22100</v>
      </c>
      <c r="K9" s="32">
        <v>5818.19</v>
      </c>
      <c r="L9" s="65">
        <v>20000</v>
      </c>
      <c r="M9" s="32">
        <v>0</v>
      </c>
      <c r="N9" s="65">
        <v>0</v>
      </c>
      <c r="O9" s="32">
        <v>83123.59</v>
      </c>
      <c r="P9" s="33">
        <f>+C9+E9+G9+K9+O9+I9</f>
        <v>1955739.4899999998</v>
      </c>
      <c r="Q9" s="33">
        <f>+B9+D9+F9+J9+N9+H9-P9+L9</f>
        <v>320845.33000000054</v>
      </c>
    </row>
    <row r="10" spans="1:17" ht="17.25">
      <c r="A10" s="30" t="s">
        <v>7</v>
      </c>
      <c r="B10" s="31">
        <v>632665</v>
      </c>
      <c r="C10" s="32">
        <f>46303.26+583878.93+12002.63+29121.55+6760.5+72077.6</f>
        <v>750144.4700000001</v>
      </c>
      <c r="D10" s="65">
        <v>74000</v>
      </c>
      <c r="E10" s="32">
        <v>119953.96</v>
      </c>
      <c r="F10" s="65">
        <v>109000</v>
      </c>
      <c r="G10" s="32">
        <f>7000+53588.38</f>
        <v>60588.38</v>
      </c>
      <c r="H10" s="65">
        <v>0</v>
      </c>
      <c r="I10" s="32">
        <v>0</v>
      </c>
      <c r="J10" s="65">
        <v>52000</v>
      </c>
      <c r="K10" s="32">
        <v>13142</v>
      </c>
      <c r="L10" s="65">
        <v>0</v>
      </c>
      <c r="M10" s="32">
        <v>0</v>
      </c>
      <c r="N10" s="65">
        <v>0</v>
      </c>
      <c r="O10" s="32">
        <v>29835.97</v>
      </c>
      <c r="P10" s="33">
        <f>+C10+E10+G10+K10+O10+I10+M10</f>
        <v>973664.78</v>
      </c>
      <c r="Q10" s="33">
        <f t="shared" si="0"/>
        <v>-105999.78000000003</v>
      </c>
    </row>
    <row r="11" spans="1:19" ht="17.25">
      <c r="A11" s="30" t="s">
        <v>9</v>
      </c>
      <c r="B11" s="31">
        <v>1507496</v>
      </c>
      <c r="C11" s="32">
        <f>126548.22+1443755.22</f>
        <v>1570303.44</v>
      </c>
      <c r="D11" s="65">
        <v>18000</v>
      </c>
      <c r="E11" s="32">
        <v>29333.85</v>
      </c>
      <c r="F11" s="65">
        <v>422806</v>
      </c>
      <c r="G11" s="32">
        <f>750+800675.81</f>
        <v>801425.81</v>
      </c>
      <c r="H11" s="65">
        <v>0</v>
      </c>
      <c r="I11" s="32">
        <v>0</v>
      </c>
      <c r="J11" s="65">
        <v>23900</v>
      </c>
      <c r="K11" s="32">
        <f>1284+4848</f>
        <v>6132</v>
      </c>
      <c r="L11" s="65">
        <v>0</v>
      </c>
      <c r="M11" s="32">
        <v>0</v>
      </c>
      <c r="N11" s="65">
        <v>0</v>
      </c>
      <c r="O11" s="32">
        <v>67382.21</v>
      </c>
      <c r="P11" s="33">
        <f>+C11+E11+G11+K11+O11+I11</f>
        <v>2474577.31</v>
      </c>
      <c r="Q11" s="33">
        <f t="shared" si="0"/>
        <v>-502375.31000000006</v>
      </c>
      <c r="S11" s="5"/>
    </row>
    <row r="12" spans="1:17" ht="17.25">
      <c r="A12" s="30" t="s">
        <v>8</v>
      </c>
      <c r="B12" s="31">
        <v>1748048</v>
      </c>
      <c r="C12" s="32">
        <f>142303.21+1514102.1+15119.29+145158.85+16941+133989.48</f>
        <v>1967613.9300000002</v>
      </c>
      <c r="D12" s="65">
        <f>931600-1500+550000</f>
        <v>1480100</v>
      </c>
      <c r="E12" s="32">
        <f>2112.49+1717763.55</f>
        <v>1719876.04</v>
      </c>
      <c r="F12" s="65">
        <v>191000</v>
      </c>
      <c r="G12" s="32">
        <f>116869.93+114.95</f>
        <v>116984.87999999999</v>
      </c>
      <c r="H12" s="65">
        <v>0</v>
      </c>
      <c r="I12" s="32">
        <v>28143.9</v>
      </c>
      <c r="J12" s="65">
        <v>29700</v>
      </c>
      <c r="K12" s="32">
        <f>1050+140033.94</f>
        <v>141083.94</v>
      </c>
      <c r="L12" s="65">
        <v>0</v>
      </c>
      <c r="M12" s="32">
        <v>180</v>
      </c>
      <c r="N12" s="65">
        <v>0</v>
      </c>
      <c r="O12" s="32">
        <v>82304.01</v>
      </c>
      <c r="P12" s="33">
        <f>+C12+E12+G12+K12+O12+I12+M12</f>
        <v>4056186.6999999997</v>
      </c>
      <c r="Q12" s="33">
        <f t="shared" si="0"/>
        <v>-607338.6999999997</v>
      </c>
    </row>
    <row r="13" spans="1:17" ht="17.25">
      <c r="A13" s="30" t="s">
        <v>10</v>
      </c>
      <c r="B13" s="31">
        <v>302258</v>
      </c>
      <c r="C13" s="32">
        <f>24624.29+272510.09</f>
        <v>297134.38</v>
      </c>
      <c r="D13" s="65">
        <v>450</v>
      </c>
      <c r="E13" s="32">
        <v>1075</v>
      </c>
      <c r="F13" s="65">
        <v>10600</v>
      </c>
      <c r="G13" s="32">
        <v>18401.29</v>
      </c>
      <c r="H13" s="65">
        <v>0</v>
      </c>
      <c r="I13" s="32">
        <v>0</v>
      </c>
      <c r="J13" s="65">
        <v>6000</v>
      </c>
      <c r="K13" s="32">
        <v>7915</v>
      </c>
      <c r="L13" s="65">
        <v>2500</v>
      </c>
      <c r="M13" s="32">
        <v>4817.13</v>
      </c>
      <c r="N13" s="65">
        <v>0</v>
      </c>
      <c r="O13" s="32">
        <v>13649.01</v>
      </c>
      <c r="P13" s="33">
        <f>+C13+E13+G13+K13+O13+I13+M13</f>
        <v>342991.81</v>
      </c>
      <c r="Q13" s="33">
        <f>+B13+D13+F13+J13+N13+H13-P13+L13</f>
        <v>-21183.809999999998</v>
      </c>
    </row>
    <row r="14" spans="1:17" ht="18" thickBot="1">
      <c r="A14" s="37" t="s">
        <v>11</v>
      </c>
      <c r="B14" s="158">
        <f aca="true" t="shared" si="1" ref="B14:Q14">SUM(B7:B13)</f>
        <v>7997611.470000001</v>
      </c>
      <c r="C14" s="39">
        <f t="shared" si="1"/>
        <v>7899442.89</v>
      </c>
      <c r="D14" s="38">
        <f t="shared" si="1"/>
        <v>1584050</v>
      </c>
      <c r="E14" s="39">
        <f t="shared" si="1"/>
        <v>1897364.6500000001</v>
      </c>
      <c r="F14" s="73">
        <f t="shared" si="1"/>
        <v>3069016</v>
      </c>
      <c r="G14" s="39">
        <f t="shared" si="1"/>
        <v>3606029.36</v>
      </c>
      <c r="H14" s="73">
        <f t="shared" si="1"/>
        <v>0</v>
      </c>
      <c r="I14" s="39">
        <f t="shared" si="1"/>
        <v>28143.9</v>
      </c>
      <c r="J14" s="38">
        <f t="shared" si="1"/>
        <v>148500</v>
      </c>
      <c r="K14" s="39">
        <f t="shared" si="1"/>
        <v>186498.16999999998</v>
      </c>
      <c r="L14" s="38">
        <f>SUM(L7:L13)</f>
        <v>22500</v>
      </c>
      <c r="M14" s="39">
        <f>SUM(M7:M13)</f>
        <v>4997.13</v>
      </c>
      <c r="N14" s="38">
        <f t="shared" si="1"/>
        <v>1592959.5299999998</v>
      </c>
      <c r="O14" s="39">
        <f t="shared" si="1"/>
        <v>1163497.89</v>
      </c>
      <c r="P14" s="40">
        <f t="shared" si="1"/>
        <v>14785973.99</v>
      </c>
      <c r="Q14" s="40">
        <f t="shared" si="1"/>
        <v>-371336.98999999947</v>
      </c>
    </row>
    <row r="15" spans="1:17" ht="17.25" thickBot="1">
      <c r="A15" s="41" t="s">
        <v>30</v>
      </c>
      <c r="B15" s="42"/>
      <c r="C15" s="131">
        <f>+C14/B14</f>
        <v>0.9877252626777078</v>
      </c>
      <c r="D15" s="131"/>
      <c r="E15" s="131">
        <f>+E14/D14</f>
        <v>1.197793409298949</v>
      </c>
      <c r="F15" s="131"/>
      <c r="G15" s="131">
        <f>+G14/F14</f>
        <v>1.1749790030420173</v>
      </c>
      <c r="H15" s="43"/>
      <c r="I15" s="43"/>
      <c r="J15" s="43"/>
      <c r="K15" s="131">
        <f>+K14/J14</f>
        <v>1.2558799326599326</v>
      </c>
      <c r="L15" s="45"/>
      <c r="M15" s="139">
        <f>+M14/L14</f>
        <v>0.22209466666666666</v>
      </c>
      <c r="N15" s="45"/>
      <c r="O15" s="133">
        <f>+O14/N14</f>
        <v>0.7304001564936179</v>
      </c>
      <c r="P15" s="55"/>
      <c r="Q15" s="5"/>
    </row>
    <row r="16" spans="1:17" ht="17.25">
      <c r="A16" s="47"/>
      <c r="B16" s="4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172"/>
      <c r="Q16" s="5"/>
    </row>
    <row r="17" ht="16.5">
      <c r="P17" s="49"/>
    </row>
    <row r="39" spans="1:6" ht="16.5">
      <c r="A39" s="50"/>
      <c r="B39" s="50"/>
      <c r="C39" s="50"/>
      <c r="D39" s="50"/>
      <c r="E39" s="50"/>
      <c r="F39" s="50"/>
    </row>
    <row r="41" spans="3:6" ht="16.5">
      <c r="C41" s="49"/>
      <c r="D41" s="5"/>
      <c r="E41" s="50"/>
      <c r="F41" s="50"/>
    </row>
    <row r="42" spans="3:6" ht="16.5">
      <c r="C42" s="49"/>
      <c r="D42" s="5"/>
      <c r="E42" s="50"/>
      <c r="F42" s="50"/>
    </row>
    <row r="43" spans="3:6" ht="16.5">
      <c r="C43" s="49"/>
      <c r="D43" s="5"/>
      <c r="E43" s="50"/>
      <c r="F43" s="50"/>
    </row>
    <row r="44" spans="3:6" ht="16.5">
      <c r="C44" s="49"/>
      <c r="D44" s="5"/>
      <c r="E44" s="50"/>
      <c r="F44" s="50"/>
    </row>
    <row r="45" spans="3:6" ht="16.5">
      <c r="C45" s="49"/>
      <c r="D45" s="5"/>
      <c r="E45" s="50"/>
      <c r="F45" s="50"/>
    </row>
    <row r="46" spans="3:6" ht="16.5">
      <c r="C46" s="49"/>
      <c r="D46" s="5"/>
      <c r="E46" s="50"/>
      <c r="F46" s="50"/>
    </row>
    <row r="48" spans="1:4" ht="16.5">
      <c r="A48" s="59" t="s">
        <v>26</v>
      </c>
      <c r="B48" s="59" t="s">
        <v>27</v>
      </c>
      <c r="C48" s="59" t="s">
        <v>28</v>
      </c>
      <c r="D48" s="5"/>
    </row>
    <row r="49" spans="1:3" ht="16.5">
      <c r="A49" s="1">
        <f>+B14</f>
        <v>7997611.470000001</v>
      </c>
      <c r="B49" s="49">
        <f>+C14</f>
        <v>7899442.89</v>
      </c>
      <c r="C49" s="59" t="s">
        <v>1</v>
      </c>
    </row>
    <row r="50" spans="1:3" ht="16.5">
      <c r="A50" s="1">
        <f>+D14</f>
        <v>1584050</v>
      </c>
      <c r="B50" s="49">
        <f>+E14</f>
        <v>1897364.6500000001</v>
      </c>
      <c r="C50" s="59" t="s">
        <v>2</v>
      </c>
    </row>
    <row r="51" spans="1:3" ht="16.5">
      <c r="A51" s="1">
        <f>+F14</f>
        <v>3069016</v>
      </c>
      <c r="B51" s="49">
        <f>+G14</f>
        <v>3606029.36</v>
      </c>
      <c r="C51" s="59" t="s">
        <v>3</v>
      </c>
    </row>
    <row r="52" spans="1:3" ht="16.5" hidden="1">
      <c r="A52" s="74">
        <f>+H14</f>
        <v>0</v>
      </c>
      <c r="B52" s="49">
        <f>+I14</f>
        <v>28143.9</v>
      </c>
      <c r="C52" s="59" t="s">
        <v>34</v>
      </c>
    </row>
    <row r="53" spans="1:3" ht="16.5">
      <c r="A53" s="1">
        <f>+J14</f>
        <v>148500</v>
      </c>
      <c r="B53" s="5">
        <f>+K14</f>
        <v>186498.16999999998</v>
      </c>
      <c r="C53" s="59" t="s">
        <v>32</v>
      </c>
    </row>
    <row r="54" spans="1:3" ht="16.5">
      <c r="A54" s="1">
        <v>0</v>
      </c>
      <c r="B54" s="5">
        <f>+M14</f>
        <v>4997.13</v>
      </c>
      <c r="C54" s="59" t="s">
        <v>96</v>
      </c>
    </row>
    <row r="55" spans="1:3" ht="17.25">
      <c r="A55" s="1">
        <f>+N14</f>
        <v>1592959.5299999998</v>
      </c>
      <c r="B55" s="62">
        <f>+O14</f>
        <v>1163497.89</v>
      </c>
      <c r="C55" s="59" t="s">
        <v>35</v>
      </c>
    </row>
    <row r="56" ht="16.5">
      <c r="C56" s="60"/>
    </row>
    <row r="57" spans="1:3" ht="17.25">
      <c r="A57" s="1">
        <v>2487582</v>
      </c>
      <c r="B57" s="62">
        <v>786542.11</v>
      </c>
      <c r="C57" s="60"/>
    </row>
    <row r="58" ht="16.5">
      <c r="C58" s="60"/>
    </row>
    <row r="59" ht="16.5">
      <c r="C59" s="60"/>
    </row>
    <row r="60" ht="16.5">
      <c r="C60" s="60"/>
    </row>
    <row r="61" ht="16.5">
      <c r="C61" s="60"/>
    </row>
    <row r="62" ht="16.5">
      <c r="C62" s="60"/>
    </row>
    <row r="63" ht="16.5">
      <c r="C63" s="60"/>
    </row>
  </sheetData>
  <sheetProtection/>
  <mergeCells count="9">
    <mergeCell ref="N5:O5"/>
    <mergeCell ref="B5:C5"/>
    <mergeCell ref="D5:E5"/>
    <mergeCell ref="F5:G5"/>
    <mergeCell ref="L5:M5"/>
    <mergeCell ref="L2:M2"/>
    <mergeCell ref="B3:E3"/>
    <mergeCell ref="J5:K5"/>
    <mergeCell ref="B2:G2"/>
  </mergeCells>
  <printOptions/>
  <pageMargins left="0.6299212598425197" right="0.4330708661417323" top="0.7874015748031497" bottom="0.5118110236220472" header="0.4330708661417323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R3" sqref="R3"/>
    </sheetView>
  </sheetViews>
  <sheetFormatPr defaultColWidth="11.421875" defaultRowHeight="15"/>
  <cols>
    <col min="1" max="1" width="16.00390625" style="1" customWidth="1"/>
    <col min="2" max="2" width="12.8515625" style="1" customWidth="1"/>
    <col min="3" max="3" width="11.7109375" style="1" customWidth="1"/>
    <col min="4" max="4" width="7.7109375" style="1" customWidth="1"/>
    <col min="5" max="5" width="9.421875" style="1" customWidth="1"/>
    <col min="6" max="6" width="12.00390625" style="1" customWidth="1"/>
    <col min="7" max="7" width="10.8515625" style="1" customWidth="1"/>
    <col min="8" max="8" width="10.421875" style="1" customWidth="1"/>
    <col min="9" max="9" width="11.7109375" style="1" customWidth="1"/>
    <col min="10" max="10" width="7.7109375" style="1" customWidth="1"/>
    <col min="11" max="11" width="9.7109375" style="1" customWidth="1"/>
    <col min="12" max="12" width="7.57421875" style="1" customWidth="1"/>
    <col min="13" max="13" width="9.28125" style="1" customWidth="1"/>
    <col min="14" max="14" width="12.140625" style="1" customWidth="1"/>
    <col min="15" max="15" width="10.7109375" style="1" customWidth="1"/>
    <col min="16" max="16" width="11.8515625" style="1" customWidth="1"/>
    <col min="17" max="17" width="11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100</v>
      </c>
      <c r="C2" s="196"/>
      <c r="D2" s="210"/>
      <c r="E2" s="210"/>
      <c r="F2" s="209"/>
      <c r="I2" s="205" t="s">
        <v>23</v>
      </c>
      <c r="J2" s="205"/>
      <c r="K2" s="142">
        <v>41609</v>
      </c>
      <c r="L2" s="114"/>
      <c r="M2" s="114"/>
      <c r="N2" s="115"/>
      <c r="O2" s="53"/>
    </row>
    <row r="3" spans="2:4" ht="16.5">
      <c r="B3" s="211"/>
      <c r="C3" s="211"/>
      <c r="D3" s="64"/>
    </row>
    <row r="4" ht="17.25" thickBot="1"/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203" t="s">
        <v>4</v>
      </c>
      <c r="I5" s="204"/>
      <c r="J5" s="203" t="s">
        <v>32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8" ht="17.25">
      <c r="A7" s="30" t="s">
        <v>14</v>
      </c>
      <c r="B7" s="157">
        <f>2227218-147909.53+3200000</f>
        <v>5279308.47</v>
      </c>
      <c r="C7" s="159">
        <f>225405.17+2414548.26+4354.91+16327.68+17851.14+91228.18+6875.55+10569.6</f>
        <v>2787160.49</v>
      </c>
      <c r="D7" s="31">
        <f>167200-3000</f>
        <v>164200</v>
      </c>
      <c r="E7" s="159">
        <f>3197.54+169989.27+2224.99</f>
        <v>175411.8</v>
      </c>
      <c r="F7" s="157">
        <f>1276133-146728.29</f>
        <v>1129404.71</v>
      </c>
      <c r="G7" s="159">
        <f>391794.43+1232029.29+196.5+4783.43+13341.09+1900+5800</f>
        <v>1649844.74</v>
      </c>
      <c r="H7" s="31">
        <f>4667657+14650000-260000</f>
        <v>19057657</v>
      </c>
      <c r="I7" s="159">
        <f>812115.76+16632392.28+1970</f>
        <v>17446478.04</v>
      </c>
      <c r="J7" s="31">
        <f>40000-10400</f>
        <v>29600</v>
      </c>
      <c r="K7" s="159">
        <v>103136.82</v>
      </c>
      <c r="L7" s="31">
        <v>150000</v>
      </c>
      <c r="M7" s="157">
        <f>210.27+100569.21</f>
        <v>100779.48000000001</v>
      </c>
      <c r="N7" s="157">
        <f>1000000+706037.82</f>
        <v>1706037.8199999998</v>
      </c>
      <c r="O7" s="159">
        <v>819814.55</v>
      </c>
      <c r="P7" s="78">
        <f>+C7+E7+G7+I7+K7+O7+M7</f>
        <v>23082625.92</v>
      </c>
      <c r="Q7" s="78">
        <f>+B7+D7+F7+H7+J7+N7-P7+L7</f>
        <v>4433582.079999998</v>
      </c>
      <c r="R7" s="5"/>
    </row>
    <row r="8" spans="1:18" ht="17.25">
      <c r="A8" s="30" t="s">
        <v>75</v>
      </c>
      <c r="B8" s="31">
        <v>391238</v>
      </c>
      <c r="C8" s="159">
        <f>47063.38+457645.97+23026.07</f>
        <v>527735.4199999999</v>
      </c>
      <c r="D8" s="31">
        <v>21000</v>
      </c>
      <c r="E8" s="159">
        <v>37816.26</v>
      </c>
      <c r="F8" s="31">
        <f>1751209-131000</f>
        <v>1620209</v>
      </c>
      <c r="G8" s="159">
        <f>2398.83+1082952.89</f>
        <v>1085351.72</v>
      </c>
      <c r="H8" s="31">
        <f>638991-56000</f>
        <v>582991</v>
      </c>
      <c r="I8" s="159">
        <f>9305.85+1038791.15</f>
        <v>1048097</v>
      </c>
      <c r="J8" s="31">
        <f>33000-15000</f>
        <v>18000</v>
      </c>
      <c r="K8" s="159">
        <v>1226.58</v>
      </c>
      <c r="L8" s="31">
        <v>25000</v>
      </c>
      <c r="M8" s="157">
        <v>4386.38</v>
      </c>
      <c r="N8" s="31">
        <v>0</v>
      </c>
      <c r="O8" s="159">
        <f>1095.2+69177.84</f>
        <v>70273.04</v>
      </c>
      <c r="P8" s="78">
        <f>+C8+E8+G8+I8+K8+O8+M8</f>
        <v>2774886.4</v>
      </c>
      <c r="Q8" s="78">
        <f>+B8+D8+F8+H8+J8+N8-P8+L8</f>
        <v>-116448.3999999999</v>
      </c>
      <c r="R8" s="5"/>
    </row>
    <row r="9" spans="1:18" ht="17.25">
      <c r="A9" s="30" t="s">
        <v>127</v>
      </c>
      <c r="B9" s="31">
        <f>4772666-220000-350000+350000</f>
        <v>4552666</v>
      </c>
      <c r="C9" s="159">
        <f>477579.28+4776047.69</f>
        <v>5253626.970000001</v>
      </c>
      <c r="D9" s="31">
        <v>18000</v>
      </c>
      <c r="E9" s="159">
        <v>5239.04</v>
      </c>
      <c r="F9" s="31">
        <v>1003398</v>
      </c>
      <c r="G9" s="159">
        <f>35594.5+824316.56</f>
        <v>859911.06</v>
      </c>
      <c r="H9" s="31">
        <v>1538509</v>
      </c>
      <c r="I9" s="159">
        <f>18849.58+1279708.08</f>
        <v>1298557.6600000001</v>
      </c>
      <c r="J9" s="31">
        <f>21700-10000</f>
        <v>11700</v>
      </c>
      <c r="K9" s="159">
        <v>474.4</v>
      </c>
      <c r="L9" s="31">
        <v>75000</v>
      </c>
      <c r="M9" s="157">
        <v>710</v>
      </c>
      <c r="N9" s="31">
        <v>0</v>
      </c>
      <c r="O9" s="159">
        <f>4500+294995.85</f>
        <v>299495.85</v>
      </c>
      <c r="P9" s="78">
        <f>+C9+E9+G9+I9+K9+O9+M9</f>
        <v>7718014.98</v>
      </c>
      <c r="Q9" s="78">
        <f>+B9+D9+F9+H9+J9+N9-P9+L9</f>
        <v>-518741.98000000045</v>
      </c>
      <c r="R9" s="5"/>
    </row>
    <row r="10" spans="1:18" ht="17.25">
      <c r="A10" s="30" t="s">
        <v>76</v>
      </c>
      <c r="B10" s="31">
        <f>6092542-250000+250000</f>
        <v>6092542</v>
      </c>
      <c r="C10" s="159">
        <f>669745.43+6755362.84+11175.57+25143.53+9098.52+37084.02</f>
        <v>7507609.909999999</v>
      </c>
      <c r="D10" s="31">
        <v>1500</v>
      </c>
      <c r="E10" s="159">
        <v>4563.16</v>
      </c>
      <c r="F10" s="31">
        <v>825272</v>
      </c>
      <c r="G10" s="159">
        <f>20918.52+438236.25</f>
        <v>459154.77</v>
      </c>
      <c r="H10" s="31">
        <v>148039</v>
      </c>
      <c r="I10" s="159">
        <v>31789.68</v>
      </c>
      <c r="J10" s="31">
        <v>0</v>
      </c>
      <c r="K10" s="159">
        <v>85</v>
      </c>
      <c r="L10" s="31">
        <v>0</v>
      </c>
      <c r="M10" s="157">
        <v>0</v>
      </c>
      <c r="N10" s="31">
        <v>0</v>
      </c>
      <c r="O10" s="159">
        <v>376430.18</v>
      </c>
      <c r="P10" s="78">
        <f>+C10+E10+G10+I10+K10+O10+M10</f>
        <v>8379632.699999999</v>
      </c>
      <c r="Q10" s="78">
        <f>+B10+D10+F10+H10+J10+N10-P10</f>
        <v>-1312279.6999999993</v>
      </c>
      <c r="R10" s="5"/>
    </row>
    <row r="11" spans="1:18" ht="17.25">
      <c r="A11" s="30" t="s">
        <v>101</v>
      </c>
      <c r="B11" s="31">
        <v>1582694</v>
      </c>
      <c r="C11" s="159">
        <f>227126.07+2083867.24</f>
        <v>2310993.31</v>
      </c>
      <c r="D11" s="31">
        <v>21000</v>
      </c>
      <c r="E11" s="159">
        <v>15199.47</v>
      </c>
      <c r="F11" s="31">
        <v>604859</v>
      </c>
      <c r="G11" s="159">
        <f>35039+860351.72</f>
        <v>895390.72</v>
      </c>
      <c r="H11" s="31">
        <f>838208+200000</f>
        <v>1038208</v>
      </c>
      <c r="I11" s="159">
        <f>17447.29+744336.13</f>
        <v>761783.42</v>
      </c>
      <c r="J11" s="31">
        <f>57800-9000</f>
        <v>48800</v>
      </c>
      <c r="K11" s="159">
        <v>13485.98</v>
      </c>
      <c r="L11" s="31">
        <v>0</v>
      </c>
      <c r="M11" s="157">
        <v>0</v>
      </c>
      <c r="N11" s="31">
        <v>0</v>
      </c>
      <c r="O11" s="159">
        <v>200175.4</v>
      </c>
      <c r="P11" s="78">
        <f>+C11+E11+G11+I11+K11+O11</f>
        <v>4197028.3</v>
      </c>
      <c r="Q11" s="78">
        <f>+B11+D11+F11+H11+J11+N11-P11</f>
        <v>-901467.2999999998</v>
      </c>
      <c r="R11" s="5"/>
    </row>
    <row r="12" spans="1:18" ht="17.25" hidden="1">
      <c r="A12" s="30" t="s">
        <v>76</v>
      </c>
      <c r="B12" s="31"/>
      <c r="C12" s="159"/>
      <c r="D12" s="31"/>
      <c r="E12" s="159"/>
      <c r="F12" s="31"/>
      <c r="G12" s="159"/>
      <c r="H12" s="31"/>
      <c r="I12" s="159"/>
      <c r="J12" s="31"/>
      <c r="K12" s="159"/>
      <c r="L12" s="31"/>
      <c r="M12" s="157"/>
      <c r="N12" s="31">
        <v>0</v>
      </c>
      <c r="O12" s="159"/>
      <c r="P12" s="78">
        <f>+C12+E12+G12+I12+K12+O12+M12</f>
        <v>0</v>
      </c>
      <c r="Q12" s="78">
        <f>+B12+D12+F12+H12+J12+N12-P12</f>
        <v>0</v>
      </c>
      <c r="R12" s="5"/>
    </row>
    <row r="13" spans="1:18" ht="18" thickBot="1">
      <c r="A13" s="37" t="s">
        <v>11</v>
      </c>
      <c r="B13" s="158">
        <f aca="true" t="shared" si="0" ref="B13:Q13">SUM(B7:B12)</f>
        <v>17898448.47</v>
      </c>
      <c r="C13" s="163">
        <f t="shared" si="0"/>
        <v>18387126.099999998</v>
      </c>
      <c r="D13" s="38">
        <f t="shared" si="0"/>
        <v>225700</v>
      </c>
      <c r="E13" s="163">
        <f t="shared" si="0"/>
        <v>238229.73</v>
      </c>
      <c r="F13" s="158">
        <f t="shared" si="0"/>
        <v>5183142.71</v>
      </c>
      <c r="G13" s="163">
        <f t="shared" si="0"/>
        <v>4949653.01</v>
      </c>
      <c r="H13" s="38">
        <f t="shared" si="0"/>
        <v>22365404</v>
      </c>
      <c r="I13" s="163">
        <f t="shared" si="0"/>
        <v>20586705.8</v>
      </c>
      <c r="J13" s="38">
        <f t="shared" si="0"/>
        <v>108100</v>
      </c>
      <c r="K13" s="163">
        <f>SUM(K7:K12)</f>
        <v>118408.78</v>
      </c>
      <c r="L13" s="38">
        <f>SUM(L7:L12)</f>
        <v>250000</v>
      </c>
      <c r="M13" s="163">
        <f>SUM(M7:M12)</f>
        <v>105875.86000000002</v>
      </c>
      <c r="N13" s="158">
        <f t="shared" si="0"/>
        <v>1706037.8199999998</v>
      </c>
      <c r="O13" s="163">
        <f>SUM(O7:O12)</f>
        <v>1766189.0199999998</v>
      </c>
      <c r="P13" s="165">
        <f t="shared" si="0"/>
        <v>46152188.3</v>
      </c>
      <c r="Q13" s="165">
        <f t="shared" si="0"/>
        <v>1584644.6999999983</v>
      </c>
      <c r="R13" s="5"/>
    </row>
    <row r="14" spans="1:17" ht="17.25" thickBot="1">
      <c r="A14" s="41" t="s">
        <v>30</v>
      </c>
      <c r="B14" s="42"/>
      <c r="C14" s="131">
        <f>+C13/B13</f>
        <v>1.0273027927990006</v>
      </c>
      <c r="D14" s="43"/>
      <c r="E14" s="131">
        <f>+E13/D13</f>
        <v>1.055514975631369</v>
      </c>
      <c r="F14" s="43"/>
      <c r="G14" s="131">
        <f>+G13/F13</f>
        <v>0.9549520989361298</v>
      </c>
      <c r="H14" s="43"/>
      <c r="I14" s="131">
        <f>+I13/H13</f>
        <v>0.9204710006579806</v>
      </c>
      <c r="J14" s="43"/>
      <c r="K14" s="131">
        <f>+K13/J13</f>
        <v>1.095363367252544</v>
      </c>
      <c r="L14" s="45"/>
      <c r="M14" s="139">
        <f>+M13/L13</f>
        <v>0.42350344000000006</v>
      </c>
      <c r="N14" s="43"/>
      <c r="O14" s="133">
        <f>+O13/N13</f>
        <v>1.0352578350226727</v>
      </c>
      <c r="P14" s="55"/>
      <c r="Q14" s="5"/>
    </row>
    <row r="15" spans="1:16" ht="17.25">
      <c r="A15" s="47"/>
      <c r="B15" s="4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72"/>
    </row>
    <row r="16" ht="16.5">
      <c r="P16" s="149"/>
    </row>
    <row r="32" spans="5:8" ht="16.5">
      <c r="E32" s="56"/>
      <c r="F32" s="56"/>
      <c r="G32" s="57"/>
      <c r="H32" s="57"/>
    </row>
    <row r="33" spans="5:8" ht="16.5">
      <c r="E33" s="58"/>
      <c r="F33" s="58"/>
      <c r="G33" s="58"/>
      <c r="H33" s="58"/>
    </row>
    <row r="38" spans="1:6" ht="16.5">
      <c r="A38" s="50"/>
      <c r="B38" s="50"/>
      <c r="C38" s="50"/>
      <c r="D38" s="50"/>
      <c r="E38" s="50"/>
      <c r="F38" s="50"/>
    </row>
    <row r="39" ht="16.5">
      <c r="C39" s="46"/>
    </row>
    <row r="40" spans="3:6" ht="16.5">
      <c r="C40" s="49"/>
      <c r="D40" s="5"/>
      <c r="E40" s="50"/>
      <c r="F40" s="50"/>
    </row>
    <row r="41" spans="3:6" ht="16.5">
      <c r="C41" s="49"/>
      <c r="D41" s="5"/>
      <c r="E41" s="50"/>
      <c r="F41" s="50"/>
    </row>
    <row r="42" spans="3:6" ht="16.5">
      <c r="C42" s="49"/>
      <c r="D42" s="5"/>
      <c r="E42" s="50"/>
      <c r="F42" s="50"/>
    </row>
    <row r="43" spans="3:6" ht="16.5">
      <c r="C43" s="49"/>
      <c r="D43" s="5"/>
      <c r="E43" s="50"/>
      <c r="F43" s="50"/>
    </row>
    <row r="44" spans="3:6" ht="16.5">
      <c r="C44" s="49"/>
      <c r="D44" s="5"/>
      <c r="E44" s="50"/>
      <c r="F44" s="50"/>
    </row>
    <row r="45" spans="3:6" ht="16.5">
      <c r="C45" s="49"/>
      <c r="D45" s="5"/>
      <c r="E45" s="50"/>
      <c r="F45" s="50"/>
    </row>
    <row r="47" spans="1:5" ht="16.5">
      <c r="A47" s="59" t="s">
        <v>26</v>
      </c>
      <c r="B47" s="59" t="s">
        <v>27</v>
      </c>
      <c r="C47" s="59" t="s">
        <v>28</v>
      </c>
      <c r="D47" s="59"/>
      <c r="E47" s="60"/>
    </row>
    <row r="48" spans="1:3" ht="17.25">
      <c r="A48" s="61">
        <f>+B13</f>
        <v>17898448.47</v>
      </c>
      <c r="B48" s="62">
        <f>+C13</f>
        <v>18387126.099999998</v>
      </c>
      <c r="C48" s="59" t="s">
        <v>1</v>
      </c>
    </row>
    <row r="49" spans="1:3" ht="17.25">
      <c r="A49" s="61">
        <f>+D13</f>
        <v>225700</v>
      </c>
      <c r="B49" s="62">
        <f>+E13</f>
        <v>238229.73</v>
      </c>
      <c r="C49" s="59" t="s">
        <v>2</v>
      </c>
    </row>
    <row r="50" spans="1:3" ht="17.25">
      <c r="A50" s="61">
        <f>+F13</f>
        <v>5183142.71</v>
      </c>
      <c r="B50" s="62">
        <f>+G13</f>
        <v>4949653.01</v>
      </c>
      <c r="C50" s="59" t="s">
        <v>3</v>
      </c>
    </row>
    <row r="51" spans="1:3" ht="17.25">
      <c r="A51" s="61">
        <f>+H13</f>
        <v>22365404</v>
      </c>
      <c r="B51" s="62">
        <f>+I13</f>
        <v>20586705.8</v>
      </c>
      <c r="C51" s="59" t="s">
        <v>34</v>
      </c>
    </row>
    <row r="52" spans="1:3" ht="17.25">
      <c r="A52" s="61">
        <f>+J13</f>
        <v>108100</v>
      </c>
      <c r="B52" s="62">
        <f>+K13</f>
        <v>118408.78</v>
      </c>
      <c r="C52" s="59" t="s">
        <v>32</v>
      </c>
    </row>
    <row r="53" spans="1:3" ht="17.25">
      <c r="A53" s="63">
        <f>+L13</f>
        <v>250000</v>
      </c>
      <c r="B53" s="62">
        <f>+M13</f>
        <v>105875.86000000002</v>
      </c>
      <c r="C53" s="59" t="s">
        <v>90</v>
      </c>
    </row>
    <row r="54" spans="1:3" ht="17.25">
      <c r="A54" s="61">
        <f>+N13</f>
        <v>1706037.8199999998</v>
      </c>
      <c r="B54" s="62">
        <f>+O13</f>
        <v>1766189.0199999998</v>
      </c>
      <c r="C54" s="59" t="s">
        <v>35</v>
      </c>
    </row>
    <row r="55" spans="1:3" ht="17.25">
      <c r="A55" s="61"/>
      <c r="B55" s="61"/>
      <c r="C55" s="59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3937007874015748" right="0" top="0.9448818897637796" bottom="0.5905511811023623" header="0.3149606299212598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4">
      <selection activeCell="N18" sqref="N18"/>
    </sheetView>
  </sheetViews>
  <sheetFormatPr defaultColWidth="11.421875" defaultRowHeight="15"/>
  <cols>
    <col min="1" max="1" width="12.140625" style="1" customWidth="1"/>
    <col min="2" max="2" width="11.8515625" style="1" customWidth="1"/>
    <col min="3" max="3" width="11.28125" style="1" customWidth="1"/>
    <col min="4" max="4" width="7.57421875" style="1" customWidth="1"/>
    <col min="5" max="5" width="9.57421875" style="1" customWidth="1"/>
    <col min="6" max="6" width="11.8515625" style="1" customWidth="1"/>
    <col min="7" max="7" width="11.140625" style="1" customWidth="1"/>
    <col min="8" max="8" width="9.421875" style="1" customWidth="1"/>
    <col min="9" max="9" width="9.7109375" style="1" customWidth="1"/>
    <col min="10" max="10" width="7.7109375" style="1" customWidth="1"/>
    <col min="11" max="11" width="9.57421875" style="1" customWidth="1"/>
    <col min="12" max="12" width="13.00390625" style="1" customWidth="1"/>
    <col min="13" max="13" width="11.8515625" style="1" customWidth="1"/>
    <col min="14" max="14" width="12.00390625" style="1" customWidth="1"/>
    <col min="15" max="15" width="10.8515625" style="1" customWidth="1"/>
    <col min="16" max="16" width="11.8515625" style="1" customWidth="1"/>
    <col min="17" max="17" width="11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102</v>
      </c>
      <c r="C2" s="213"/>
      <c r="D2" s="213"/>
      <c r="E2" s="201"/>
      <c r="F2" s="201"/>
      <c r="L2" s="205" t="s">
        <v>23</v>
      </c>
      <c r="M2" s="206"/>
      <c r="N2" s="142">
        <v>41609</v>
      </c>
      <c r="O2" s="53"/>
    </row>
    <row r="3" spans="2:4" ht="16.5">
      <c r="B3" s="211"/>
      <c r="C3" s="212"/>
      <c r="D3" s="212"/>
    </row>
    <row r="4" ht="17.25" thickBot="1"/>
    <row r="5" spans="1:17" ht="17.25">
      <c r="A5" s="24"/>
      <c r="B5" s="203" t="s">
        <v>1</v>
      </c>
      <c r="C5" s="204"/>
      <c r="D5" s="203" t="s">
        <v>2</v>
      </c>
      <c r="E5" s="204"/>
      <c r="F5" s="203" t="s">
        <v>3</v>
      </c>
      <c r="G5" s="204"/>
      <c r="H5" s="203" t="s">
        <v>4</v>
      </c>
      <c r="I5" s="204"/>
      <c r="J5" s="203" t="s">
        <v>80</v>
      </c>
      <c r="K5" s="204"/>
      <c r="L5" s="203" t="s">
        <v>36</v>
      </c>
      <c r="M5" s="204"/>
      <c r="N5" s="203" t="s">
        <v>33</v>
      </c>
      <c r="O5" s="204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8" t="s">
        <v>25</v>
      </c>
      <c r="Q6" s="29" t="s">
        <v>39</v>
      </c>
    </row>
    <row r="7" spans="1:18" ht="17.25">
      <c r="A7" s="30" t="s">
        <v>14</v>
      </c>
      <c r="B7" s="157">
        <f>866975-123257.94</f>
        <v>743717.06</v>
      </c>
      <c r="C7" s="159">
        <f>44271.7+228540.07+11919.87+111417.31+41592.97+461549.81</f>
        <v>899291.73</v>
      </c>
      <c r="D7" s="31">
        <v>36000</v>
      </c>
      <c r="E7" s="159">
        <f>-0.01+44413.62</f>
        <v>44413.61</v>
      </c>
      <c r="F7" s="161">
        <f>559243-60764.77</f>
        <v>498478.23</v>
      </c>
      <c r="G7" s="162">
        <f>12430.9+296651.51-100+32604.95</f>
        <v>341587.36000000004</v>
      </c>
      <c r="H7" s="75">
        <f>260921+800000</f>
        <v>1060921</v>
      </c>
      <c r="I7" s="161">
        <f>846734.4+7500</f>
        <v>854234.4</v>
      </c>
      <c r="J7" s="75">
        <v>20000</v>
      </c>
      <c r="K7" s="162">
        <f>10198+19059.91</f>
        <v>29257.91</v>
      </c>
      <c r="L7" s="75">
        <v>300000</v>
      </c>
      <c r="M7" s="162">
        <v>82737.15</v>
      </c>
      <c r="N7" s="157">
        <f>1800000+633415.34</f>
        <v>2433415.34</v>
      </c>
      <c r="O7" s="159">
        <v>699362.7</v>
      </c>
      <c r="P7" s="78">
        <f>+O7+M7+K7+G7+E7+C7+I7</f>
        <v>2950884.8600000003</v>
      </c>
      <c r="Q7" s="78">
        <f>+B7+D7+F7+J7+L7+N7-P7+H7</f>
        <v>2141646.7699999996</v>
      </c>
      <c r="R7" s="5"/>
    </row>
    <row r="8" spans="1:17" ht="17.25">
      <c r="A8" s="30" t="s">
        <v>13</v>
      </c>
      <c r="B8" s="31">
        <f>2631326-190000-350000+350000</f>
        <v>2441326</v>
      </c>
      <c r="C8" s="159">
        <f>65734.81+846446.4+111173.12+999499.91+61287.14+615924.19+8847.49+86977.15</f>
        <v>2795890.21</v>
      </c>
      <c r="D8" s="31">
        <v>15500</v>
      </c>
      <c r="E8" s="159">
        <f>750+35704.6</f>
        <v>36454.6</v>
      </c>
      <c r="F8" s="75">
        <f>243148-32000+400000</f>
        <v>611148</v>
      </c>
      <c r="G8" s="162">
        <f>4350+547001.54+150095.02</f>
        <v>701446.56</v>
      </c>
      <c r="H8" s="75">
        <v>0</v>
      </c>
      <c r="I8" s="161">
        <v>39.2</v>
      </c>
      <c r="J8" s="75">
        <f>133500-40000</f>
        <v>93500</v>
      </c>
      <c r="K8" s="162">
        <f>3769+58983</f>
        <v>62752</v>
      </c>
      <c r="L8" s="77">
        <v>0</v>
      </c>
      <c r="M8" s="162">
        <v>5900</v>
      </c>
      <c r="N8" s="77">
        <v>0</v>
      </c>
      <c r="O8" s="162">
        <f>2430.55+138720.43</f>
        <v>141150.97999999998</v>
      </c>
      <c r="P8" s="78">
        <f>+O8+M8+K8+G8+E8+C8+I8</f>
        <v>3743633.5500000003</v>
      </c>
      <c r="Q8" s="78">
        <f>+B8+D8+F8+J8+L8+N8-P8+H8</f>
        <v>-582159.5500000003</v>
      </c>
    </row>
    <row r="9" spans="1:18" ht="17.25">
      <c r="A9" s="30" t="s">
        <v>12</v>
      </c>
      <c r="B9" s="31">
        <f>1956164-350000+350000</f>
        <v>1956164</v>
      </c>
      <c r="C9" s="159">
        <f>60287.22+611854.13+44407.41+236793.57+11975.24+117421.19</f>
        <v>1082738.76</v>
      </c>
      <c r="D9" s="31">
        <v>74600</v>
      </c>
      <c r="E9" s="159">
        <f>1993+107954.28</f>
        <v>109947.28</v>
      </c>
      <c r="F9" s="31">
        <f>103000+500000+500000</f>
        <v>1103000</v>
      </c>
      <c r="G9" s="159">
        <f>3425.5+740841.07+803.87</f>
        <v>745070.44</v>
      </c>
      <c r="H9" s="31">
        <v>0</v>
      </c>
      <c r="I9" s="157">
        <v>3009.82</v>
      </c>
      <c r="J9" s="31">
        <v>70500</v>
      </c>
      <c r="K9" s="159">
        <v>69483.51</v>
      </c>
      <c r="L9" s="157">
        <f>18255000-13448732.99</f>
        <v>4806267.01</v>
      </c>
      <c r="M9" s="159">
        <f>77397.14+3906608.66+58481.16+483178.72</f>
        <v>4525665.680000001</v>
      </c>
      <c r="N9" s="31">
        <v>0</v>
      </c>
      <c r="O9" s="159">
        <v>181593.61</v>
      </c>
      <c r="P9" s="78">
        <f>+O9+M9+K9+G9+E9+C9+I9</f>
        <v>6717509.100000001</v>
      </c>
      <c r="Q9" s="78">
        <f>+B9+D9+F9+J9+L9+N9-P9+H9</f>
        <v>1293021.9099999992</v>
      </c>
      <c r="R9" s="5"/>
    </row>
    <row r="10" spans="1:18" ht="17.25">
      <c r="A10" s="30" t="s">
        <v>79</v>
      </c>
      <c r="B10" s="31">
        <f>3908391-1000000</f>
        <v>2908391</v>
      </c>
      <c r="C10" s="159">
        <f>69199.84+769142.09+19053.1+185688.04+49059.85+451338.43+13868.33+164603.6</f>
        <v>1721953.28</v>
      </c>
      <c r="D10" s="31">
        <f>259000-5000</f>
        <v>254000</v>
      </c>
      <c r="E10" s="159">
        <f>40729.08+316944.42</f>
        <v>357673.5</v>
      </c>
      <c r="F10" s="31">
        <v>1896687</v>
      </c>
      <c r="G10" s="159">
        <f>5459.52+1302542.75+72530.37+1314.95</f>
        <v>1381847.59</v>
      </c>
      <c r="H10" s="31">
        <v>0</v>
      </c>
      <c r="I10" s="157">
        <v>608.72</v>
      </c>
      <c r="J10" s="31">
        <f>200000-60000</f>
        <v>140000</v>
      </c>
      <c r="K10" s="159">
        <v>157984.38</v>
      </c>
      <c r="L10" s="157">
        <f>9737170-5949005.05</f>
        <v>3788164.95</v>
      </c>
      <c r="M10" s="159">
        <f>422478.21+5013545.89+4014.25</f>
        <v>5440038.35</v>
      </c>
      <c r="N10" s="31">
        <v>0</v>
      </c>
      <c r="O10" s="159">
        <v>571197.47</v>
      </c>
      <c r="P10" s="78">
        <f>+O10+M10+K10+I10+G10+E10+C10</f>
        <v>9631303.29</v>
      </c>
      <c r="Q10" s="78">
        <f>+N10+L10+J10+H10+F10+D10+B10-P10</f>
        <v>-644060.3399999999</v>
      </c>
      <c r="R10" s="5"/>
    </row>
    <row r="11" spans="1:17" ht="9" customHeight="1">
      <c r="A11" s="30"/>
      <c r="B11" s="34"/>
      <c r="C11" s="159"/>
      <c r="D11" s="31"/>
      <c r="E11" s="159"/>
      <c r="F11" s="31"/>
      <c r="G11" s="159"/>
      <c r="H11" s="157"/>
      <c r="I11" s="157"/>
      <c r="J11" s="31"/>
      <c r="K11" s="159"/>
      <c r="L11" s="31"/>
      <c r="M11" s="159"/>
      <c r="N11" s="31"/>
      <c r="O11" s="159"/>
      <c r="P11" s="78"/>
      <c r="Q11" s="78"/>
    </row>
    <row r="12" spans="1:17" ht="18" thickBot="1">
      <c r="A12" s="37" t="s">
        <v>11</v>
      </c>
      <c r="B12" s="158">
        <f aca="true" t="shared" si="0" ref="B12:Q12">SUM(B7:B11)</f>
        <v>8049598.0600000005</v>
      </c>
      <c r="C12" s="163">
        <f t="shared" si="0"/>
        <v>6499873.98</v>
      </c>
      <c r="D12" s="38">
        <f t="shared" si="0"/>
        <v>380100</v>
      </c>
      <c r="E12" s="163">
        <f t="shared" si="0"/>
        <v>548488.99</v>
      </c>
      <c r="F12" s="158">
        <f t="shared" si="0"/>
        <v>4109313.23</v>
      </c>
      <c r="G12" s="163">
        <f t="shared" si="0"/>
        <v>3169951.95</v>
      </c>
      <c r="H12" s="38">
        <f t="shared" si="0"/>
        <v>1060921</v>
      </c>
      <c r="I12" s="164">
        <f t="shared" si="0"/>
        <v>857892.1399999999</v>
      </c>
      <c r="J12" s="38">
        <f t="shared" si="0"/>
        <v>324000</v>
      </c>
      <c r="K12" s="163">
        <f t="shared" si="0"/>
        <v>319477.8</v>
      </c>
      <c r="L12" s="158">
        <f t="shared" si="0"/>
        <v>8894431.96</v>
      </c>
      <c r="M12" s="163">
        <f t="shared" si="0"/>
        <v>10054341.18</v>
      </c>
      <c r="N12" s="158">
        <f t="shared" si="0"/>
        <v>2433415.34</v>
      </c>
      <c r="O12" s="163">
        <f t="shared" si="0"/>
        <v>1593304.7599999998</v>
      </c>
      <c r="P12" s="165">
        <f t="shared" si="0"/>
        <v>23043330.8</v>
      </c>
      <c r="Q12" s="165">
        <f t="shared" si="0"/>
        <v>2208448.7899999986</v>
      </c>
    </row>
    <row r="13" spans="1:17" ht="17.25" thickBot="1">
      <c r="A13" s="41" t="s">
        <v>30</v>
      </c>
      <c r="B13" s="42"/>
      <c r="C13" s="131">
        <f>+C12/B12</f>
        <v>0.8074780792222562</v>
      </c>
      <c r="D13" s="43"/>
      <c r="E13" s="131">
        <f>+E12/D12</f>
        <v>1.4430123388581952</v>
      </c>
      <c r="F13" s="43"/>
      <c r="G13" s="131">
        <f>+G12/F12</f>
        <v>0.7714067467181128</v>
      </c>
      <c r="H13" s="43"/>
      <c r="I13" s="131">
        <f>+I12/H12</f>
        <v>0.8086296152116886</v>
      </c>
      <c r="J13" s="43"/>
      <c r="K13" s="131">
        <f>+K12/J12</f>
        <v>0.9860425925925925</v>
      </c>
      <c r="L13" s="43"/>
      <c r="M13" s="131">
        <f>+M12/L12</f>
        <v>1.1304084651179904</v>
      </c>
      <c r="N13" s="45"/>
      <c r="O13" s="133">
        <f>+O12/N12</f>
        <v>0.6547607117492733</v>
      </c>
      <c r="P13" s="55"/>
      <c r="Q13" s="5"/>
    </row>
    <row r="14" spans="12:17" ht="17.25">
      <c r="L14" s="74"/>
      <c r="P14" s="62"/>
      <c r="Q14" s="49"/>
    </row>
    <row r="15" ht="17.25">
      <c r="P15" s="62"/>
    </row>
    <row r="16" ht="17.25">
      <c r="P16" s="62"/>
    </row>
    <row r="37" spans="1:6" ht="16.5">
      <c r="A37" s="50"/>
      <c r="B37" s="50"/>
      <c r="C37" s="50"/>
      <c r="D37" s="50"/>
      <c r="E37" s="50"/>
      <c r="F37" s="50"/>
    </row>
    <row r="39" spans="3:6" ht="17.25">
      <c r="C39" s="62"/>
      <c r="D39" s="5"/>
      <c r="E39" s="50"/>
      <c r="F39" s="50"/>
    </row>
    <row r="40" spans="3:6" ht="17.25">
      <c r="C40" s="62"/>
      <c r="D40" s="5"/>
      <c r="E40" s="50"/>
      <c r="F40" s="50"/>
    </row>
    <row r="41" spans="3:6" ht="17.25">
      <c r="C41" s="62"/>
      <c r="D41" s="5"/>
      <c r="E41" s="50"/>
      <c r="F41" s="50"/>
    </row>
    <row r="42" spans="3:6" ht="17.25">
      <c r="C42" s="62"/>
      <c r="D42" s="5"/>
      <c r="E42" s="50"/>
      <c r="F42" s="50"/>
    </row>
    <row r="43" spans="3:6" ht="17.25">
      <c r="C43" s="62"/>
      <c r="D43" s="5"/>
      <c r="E43" s="50"/>
      <c r="F43" s="50"/>
    </row>
    <row r="44" spans="3:6" ht="17.25">
      <c r="C44" s="62"/>
      <c r="D44" s="5"/>
      <c r="E44" s="50"/>
      <c r="F44" s="50"/>
    </row>
    <row r="45" ht="17.25">
      <c r="C45" s="61"/>
    </row>
    <row r="48" spans="4:5" ht="16.5">
      <c r="D48" s="59"/>
      <c r="E48" s="59"/>
    </row>
    <row r="49" spans="1:5" ht="16.5">
      <c r="A49" s="59" t="s">
        <v>26</v>
      </c>
      <c r="B49" s="59" t="s">
        <v>27</v>
      </c>
      <c r="C49" s="59" t="s">
        <v>28</v>
      </c>
      <c r="D49" s="59"/>
      <c r="E49" s="59"/>
    </row>
    <row r="50" spans="1:3" ht="17.25">
      <c r="A50" s="61">
        <f>+B12</f>
        <v>8049598.0600000005</v>
      </c>
      <c r="B50" s="62">
        <f>+C12</f>
        <v>6499873.98</v>
      </c>
      <c r="C50" s="59" t="s">
        <v>1</v>
      </c>
    </row>
    <row r="51" spans="1:3" ht="17.25">
      <c r="A51" s="61">
        <f>+D12</f>
        <v>380100</v>
      </c>
      <c r="B51" s="62">
        <f>+E12</f>
        <v>548488.99</v>
      </c>
      <c r="C51" s="59" t="s">
        <v>2</v>
      </c>
    </row>
    <row r="52" spans="1:3" ht="17.25">
      <c r="A52" s="61">
        <f>+F12</f>
        <v>4109313.23</v>
      </c>
      <c r="B52" s="62">
        <f>+G12</f>
        <v>3169951.95</v>
      </c>
      <c r="C52" s="59" t="s">
        <v>3</v>
      </c>
    </row>
    <row r="53" spans="1:3" ht="17.25">
      <c r="A53" s="63">
        <f>+H12</f>
        <v>1060921</v>
      </c>
      <c r="B53" s="62">
        <f>+I12</f>
        <v>857892.1399999999</v>
      </c>
      <c r="C53" s="59" t="s">
        <v>34</v>
      </c>
    </row>
    <row r="54" spans="1:3" ht="17.25">
      <c r="A54" s="61">
        <f>+J12</f>
        <v>324000</v>
      </c>
      <c r="B54" s="62">
        <f>+K12</f>
        <v>319477.8</v>
      </c>
      <c r="C54" s="59" t="s">
        <v>32</v>
      </c>
    </row>
    <row r="55" spans="1:3" ht="17.25">
      <c r="A55" s="61">
        <f>+L12</f>
        <v>8894431.96</v>
      </c>
      <c r="B55" s="62">
        <f>+M12</f>
        <v>10054341.18</v>
      </c>
      <c r="C55" s="59" t="s">
        <v>29</v>
      </c>
    </row>
    <row r="56" spans="1:3" ht="17.25">
      <c r="A56" s="61">
        <f>+N12</f>
        <v>2433415.34</v>
      </c>
      <c r="B56" s="62">
        <f>+O12</f>
        <v>1593304.7599999998</v>
      </c>
      <c r="C56" s="59" t="s">
        <v>35</v>
      </c>
    </row>
    <row r="57" spans="1:2" ht="17.25">
      <c r="A57" s="61">
        <v>2832908</v>
      </c>
      <c r="B57" s="62">
        <v>692231.2</v>
      </c>
    </row>
    <row r="58" spans="1:2" ht="17.25">
      <c r="A58" s="61"/>
      <c r="B58" s="61"/>
    </row>
    <row r="59" spans="1:2" ht="17.25">
      <c r="A59" s="61"/>
      <c r="B59" s="61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3937007874015748" right="0" top="1.0236220472440944" bottom="0.5118110236220472" header="0.3149606299212598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B1">
      <selection activeCell="R9" sqref="R8:R9"/>
    </sheetView>
  </sheetViews>
  <sheetFormatPr defaultColWidth="11.421875" defaultRowHeight="15"/>
  <cols>
    <col min="1" max="1" width="18.421875" style="1" customWidth="1"/>
    <col min="2" max="2" width="10.7109375" style="1" customWidth="1"/>
    <col min="3" max="3" width="12.28125" style="1" customWidth="1"/>
    <col min="4" max="4" width="7.8515625" style="1" customWidth="1"/>
    <col min="5" max="5" width="9.57421875" style="1" customWidth="1"/>
    <col min="6" max="6" width="11.8515625" style="1" customWidth="1"/>
    <col min="7" max="7" width="10.8515625" style="1" customWidth="1"/>
    <col min="8" max="8" width="6.421875" style="1" customWidth="1"/>
    <col min="9" max="9" width="9.8515625" style="1" customWidth="1"/>
    <col min="10" max="10" width="9.140625" style="1" customWidth="1"/>
    <col min="11" max="11" width="9.8515625" style="1" customWidth="1"/>
    <col min="12" max="12" width="6.28125" style="1" customWidth="1"/>
    <col min="13" max="13" width="9.57421875" style="1" customWidth="1"/>
    <col min="14" max="14" width="11.8515625" style="1" customWidth="1"/>
    <col min="15" max="15" width="11.140625" style="1" customWidth="1"/>
    <col min="16" max="16" width="12.140625" style="1" customWidth="1"/>
    <col min="17" max="17" width="11.7109375" style="1" customWidth="1"/>
    <col min="18" max="18" width="15.00390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103</v>
      </c>
      <c r="C2" s="213"/>
      <c r="D2" s="213"/>
      <c r="E2" s="213"/>
      <c r="F2" s="208"/>
      <c r="G2" s="208"/>
      <c r="H2" s="208"/>
      <c r="I2" s="209"/>
      <c r="J2" s="20"/>
      <c r="K2" s="205" t="s">
        <v>23</v>
      </c>
      <c r="L2" s="206"/>
      <c r="M2" s="142">
        <v>41609</v>
      </c>
      <c r="O2" s="53"/>
    </row>
    <row r="3" spans="2:16" ht="16.5">
      <c r="B3" s="211"/>
      <c r="C3" s="212"/>
      <c r="D3" s="212"/>
      <c r="E3" s="212"/>
      <c r="F3" s="64"/>
      <c r="P3" s="79"/>
    </row>
    <row r="5" ht="17.25" thickBot="1"/>
    <row r="6" spans="1:17" ht="17.25">
      <c r="A6" s="24"/>
      <c r="B6" s="203" t="s">
        <v>1</v>
      </c>
      <c r="C6" s="204"/>
      <c r="D6" s="203" t="s">
        <v>2</v>
      </c>
      <c r="E6" s="204"/>
      <c r="F6" s="203" t="s">
        <v>3</v>
      </c>
      <c r="G6" s="204"/>
      <c r="H6" s="203" t="s">
        <v>4</v>
      </c>
      <c r="I6" s="204"/>
      <c r="J6" s="203" t="s">
        <v>32</v>
      </c>
      <c r="K6" s="204"/>
      <c r="L6" s="203" t="s">
        <v>36</v>
      </c>
      <c r="M6" s="204"/>
      <c r="N6" s="203" t="s">
        <v>33</v>
      </c>
      <c r="O6" s="204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118" t="s">
        <v>25</v>
      </c>
      <c r="Q7" s="29" t="s">
        <v>39</v>
      </c>
    </row>
    <row r="8" spans="1:18" ht="17.25">
      <c r="A8" s="80" t="s">
        <v>14</v>
      </c>
      <c r="B8" s="157">
        <f>1017388-98606.36+200000</f>
        <v>1118781.6400000001</v>
      </c>
      <c r="C8" s="159">
        <f>61492.54+601632.81+70255.94+7067.48+10132.28+117317.47+464742.1+24906.68+268499.95+19149.91+63922.19+34649.11+115089.3</f>
        <v>1858857.76</v>
      </c>
      <c r="D8" s="31">
        <f>46500+300000</f>
        <v>346500</v>
      </c>
      <c r="E8" s="159">
        <f>4200.01+57061.96+313.25</f>
        <v>61575.22</v>
      </c>
      <c r="F8" s="31">
        <v>1058900</v>
      </c>
      <c r="G8" s="159">
        <f>67179.24+1404823.17+3586.26+4120</f>
        <v>1479708.67</v>
      </c>
      <c r="H8" s="75">
        <v>3000</v>
      </c>
      <c r="I8" s="162">
        <v>72552.44</v>
      </c>
      <c r="J8" s="31">
        <f>610000+300000-445000</f>
        <v>465000</v>
      </c>
      <c r="K8" s="159">
        <v>100265.56</v>
      </c>
      <c r="L8" s="31">
        <v>0</v>
      </c>
      <c r="M8" s="157">
        <v>114836.18</v>
      </c>
      <c r="N8" s="157">
        <f>800000+374634.28</f>
        <v>1174634.28</v>
      </c>
      <c r="O8" s="159">
        <v>584194.8</v>
      </c>
      <c r="P8" s="78">
        <f>+O8+K8+G8+E8+C8+I8+M8</f>
        <v>4271990.630000001</v>
      </c>
      <c r="Q8" s="78">
        <f>+B8+D8+F8+H8+J8+N8-P8</f>
        <v>-105174.7100000009</v>
      </c>
      <c r="R8" s="5"/>
    </row>
    <row r="9" spans="1:18" ht="17.25">
      <c r="A9" s="80" t="s">
        <v>87</v>
      </c>
      <c r="B9" s="31">
        <f>4762592-839303.17+600000</f>
        <v>4523288.83</v>
      </c>
      <c r="C9" s="159">
        <f>80998.08+760490.5+155352.54+1516179.78+96482+1035255.27+158939+1642150.45+17304.88+41201.67</f>
        <v>5504354.17</v>
      </c>
      <c r="D9" s="31">
        <v>111500</v>
      </c>
      <c r="E9" s="159">
        <f>2460.12+147638.26+4420+990+618.54</f>
        <v>156126.92</v>
      </c>
      <c r="F9" s="31">
        <v>326300</v>
      </c>
      <c r="G9" s="159">
        <f>1654.36+75765.24+5852.36+6854.64+1009.68+250</f>
        <v>91386.28</v>
      </c>
      <c r="H9" s="31">
        <v>0</v>
      </c>
      <c r="I9" s="159">
        <v>0</v>
      </c>
      <c r="J9" s="31">
        <v>53350</v>
      </c>
      <c r="K9" s="159">
        <f>2209+282519.25+58</f>
        <v>284786.25</v>
      </c>
      <c r="L9" s="31">
        <v>0</v>
      </c>
      <c r="M9" s="157">
        <v>0</v>
      </c>
      <c r="N9" s="31">
        <v>0</v>
      </c>
      <c r="O9" s="159">
        <v>260517.18</v>
      </c>
      <c r="P9" s="78">
        <f>+O9+K9+G9+E9+C9+I9</f>
        <v>6297170.8</v>
      </c>
      <c r="Q9" s="78">
        <f>+B9+D9+F9+H9+J9+N9-P9</f>
        <v>-1282731.9699999997</v>
      </c>
      <c r="R9" s="5"/>
    </row>
    <row r="10" spans="1:18" ht="17.25">
      <c r="A10" s="80" t="s">
        <v>86</v>
      </c>
      <c r="B10" s="31">
        <f>5997223-1000000+1000000+232000</f>
        <v>6229223</v>
      </c>
      <c r="C10" s="159">
        <f>188249.21+1185665.82+11596.23+152147.6+473208.84+5017508.65</f>
        <v>7028376.350000001</v>
      </c>
      <c r="D10" s="31">
        <f>148150-1300</f>
        <v>146850</v>
      </c>
      <c r="E10" s="159">
        <f>13526.5+167721.34+4500.23</f>
        <v>185748.07</v>
      </c>
      <c r="F10" s="157">
        <f>5623200-35424.75</f>
        <v>5587775.25</v>
      </c>
      <c r="G10" s="159">
        <f>445466.82+4606902.7-992+90486.68</f>
        <v>5141864.2</v>
      </c>
      <c r="H10" s="31">
        <v>0</v>
      </c>
      <c r="I10" s="159">
        <v>0</v>
      </c>
      <c r="J10" s="31">
        <v>80000</v>
      </c>
      <c r="K10" s="159">
        <f>8858.98+34386.93</f>
        <v>43245.91</v>
      </c>
      <c r="L10" s="31">
        <v>0</v>
      </c>
      <c r="M10" s="157">
        <f>607.22+11481.56</f>
        <v>12088.779999999999</v>
      </c>
      <c r="N10" s="31">
        <v>0</v>
      </c>
      <c r="O10" s="159">
        <v>1559457.76</v>
      </c>
      <c r="P10" s="78">
        <f>+O10+K10+G10+E10+C10+I10+M10</f>
        <v>13970781.07</v>
      </c>
      <c r="Q10" s="78">
        <f>+B10+D10+F10+H10+J10+N10-P10</f>
        <v>-1926932.8200000003</v>
      </c>
      <c r="R10" s="5"/>
    </row>
    <row r="11" spans="1:18" ht="17.25">
      <c r="A11" s="80" t="s">
        <v>123</v>
      </c>
      <c r="B11" s="31">
        <f>5923625-800000</f>
        <v>5123625</v>
      </c>
      <c r="C11" s="159">
        <f>49861.6+535858.29+559550.25+5316020.42+30351.71+213975.56</f>
        <v>6705617.83</v>
      </c>
      <c r="D11" s="31">
        <v>353000</v>
      </c>
      <c r="E11" s="159">
        <f>7324.5+300647.17+1101+4865-500+860</f>
        <v>314297.67</v>
      </c>
      <c r="F11" s="31">
        <v>455500</v>
      </c>
      <c r="G11" s="159">
        <f>1950+551987.25+81853.1+241.5</f>
        <v>636031.85</v>
      </c>
      <c r="H11" s="31">
        <v>3000</v>
      </c>
      <c r="I11" s="159">
        <v>10530</v>
      </c>
      <c r="J11" s="31">
        <v>190000</v>
      </c>
      <c r="K11" s="159">
        <f>233431.22+215.2</f>
        <v>233646.42</v>
      </c>
      <c r="L11" s="31">
        <v>0</v>
      </c>
      <c r="M11" s="157">
        <v>14310</v>
      </c>
      <c r="N11" s="31">
        <v>0</v>
      </c>
      <c r="O11" s="159">
        <f>3289+305274.34</f>
        <v>308563.34</v>
      </c>
      <c r="P11" s="78">
        <f>+O11+K11+G11+E11+C11+I11+M11</f>
        <v>8222997.109999999</v>
      </c>
      <c r="Q11" s="78">
        <f>+B11+D11+F11+H11+J11+N11+L11-P11</f>
        <v>-2097872.1099999994</v>
      </c>
      <c r="R11" s="5"/>
    </row>
    <row r="12" spans="1:17" ht="9" customHeight="1">
      <c r="A12" s="80"/>
      <c r="B12" s="34"/>
      <c r="C12" s="159"/>
      <c r="D12" s="34"/>
      <c r="E12" s="159"/>
      <c r="F12" s="34"/>
      <c r="G12" s="159"/>
      <c r="H12" s="34"/>
      <c r="I12" s="159"/>
      <c r="J12" s="34"/>
      <c r="K12" s="159"/>
      <c r="L12" s="157"/>
      <c r="M12" s="157"/>
      <c r="N12" s="34"/>
      <c r="O12" s="159"/>
      <c r="P12" s="78"/>
      <c r="Q12" s="78"/>
    </row>
    <row r="13" spans="1:18" ht="18" thickBot="1">
      <c r="A13" s="37" t="s">
        <v>11</v>
      </c>
      <c r="B13" s="38">
        <f aca="true" t="shared" si="0" ref="B13:Q13">SUM(B8:B12)</f>
        <v>16994918.47</v>
      </c>
      <c r="C13" s="163">
        <f t="shared" si="0"/>
        <v>21097206.11</v>
      </c>
      <c r="D13" s="38">
        <f t="shared" si="0"/>
        <v>957850</v>
      </c>
      <c r="E13" s="163">
        <f t="shared" si="0"/>
        <v>717747.88</v>
      </c>
      <c r="F13" s="158">
        <f t="shared" si="0"/>
        <v>7428475.25</v>
      </c>
      <c r="G13" s="163">
        <f t="shared" si="0"/>
        <v>7348991</v>
      </c>
      <c r="H13" s="38">
        <f t="shared" si="0"/>
        <v>6000</v>
      </c>
      <c r="I13" s="163">
        <f t="shared" si="0"/>
        <v>83082.44</v>
      </c>
      <c r="J13" s="38">
        <f t="shared" si="0"/>
        <v>788350</v>
      </c>
      <c r="K13" s="163">
        <f t="shared" si="0"/>
        <v>661944.14</v>
      </c>
      <c r="L13" s="38">
        <f>SUM(L8:L12)</f>
        <v>0</v>
      </c>
      <c r="M13" s="163">
        <f>SUM(M8:M12)</f>
        <v>141234.96</v>
      </c>
      <c r="N13" s="158">
        <f t="shared" si="0"/>
        <v>1174634.28</v>
      </c>
      <c r="O13" s="163">
        <f t="shared" si="0"/>
        <v>2712733.08</v>
      </c>
      <c r="P13" s="173">
        <f t="shared" si="0"/>
        <v>32762939.61</v>
      </c>
      <c r="Q13" s="174">
        <f>SUM(Q8:Q12)</f>
        <v>-5412711.61</v>
      </c>
      <c r="R13" s="5"/>
    </row>
    <row r="14" spans="1:17" ht="17.25" thickBot="1">
      <c r="A14" s="37" t="s">
        <v>30</v>
      </c>
      <c r="B14" s="81"/>
      <c r="C14" s="86">
        <f>+C13/B13</f>
        <v>1.2413831903484267</v>
      </c>
      <c r="D14" s="82"/>
      <c r="E14" s="86">
        <f>+E13/D13</f>
        <v>0.7493322336482748</v>
      </c>
      <c r="F14" s="82"/>
      <c r="G14" s="86">
        <f>+G13/F13</f>
        <v>0.9893000585820084</v>
      </c>
      <c r="H14" s="82"/>
      <c r="I14" s="86">
        <f>+I13/H13</f>
        <v>13.847073333333334</v>
      </c>
      <c r="J14" s="155"/>
      <c r="K14" s="86">
        <f>+K13/J13</f>
        <v>0.8396576901122598</v>
      </c>
      <c r="L14" s="83"/>
      <c r="M14" s="45"/>
      <c r="N14" s="43"/>
      <c r="O14" s="133">
        <f>+O13/N13</f>
        <v>2.3094278161199244</v>
      </c>
      <c r="P14" s="55"/>
      <c r="Q14" s="5"/>
    </row>
    <row r="15" spans="1:17" ht="17.25">
      <c r="A15" s="47"/>
      <c r="B15" s="4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72"/>
      <c r="Q15" s="5"/>
    </row>
    <row r="16" ht="16.5">
      <c r="P16" s="5"/>
    </row>
    <row r="18" ht="16.5">
      <c r="Q18" s="5"/>
    </row>
    <row r="41" spans="1:6" ht="16.5">
      <c r="A41" s="50"/>
      <c r="B41" s="50"/>
      <c r="C41" s="50"/>
      <c r="D41" s="50"/>
      <c r="E41" s="50"/>
      <c r="F41" s="50"/>
    </row>
    <row r="43" spans="3:6" ht="16.5">
      <c r="C43" s="49"/>
      <c r="D43" s="5"/>
      <c r="E43" s="50"/>
      <c r="F43" s="50"/>
    </row>
    <row r="44" spans="4:6" ht="16.5">
      <c r="D44" s="5"/>
      <c r="F44" s="50"/>
    </row>
    <row r="45" spans="1:6" ht="16.5">
      <c r="A45" s="59" t="s">
        <v>26</v>
      </c>
      <c r="B45" s="67" t="s">
        <v>27</v>
      </c>
      <c r="C45" s="84" t="s">
        <v>28</v>
      </c>
      <c r="D45" s="5"/>
      <c r="F45" s="50"/>
    </row>
    <row r="46" spans="1:6" ht="17.25">
      <c r="A46" s="61">
        <f>+B13</f>
        <v>16994918.47</v>
      </c>
      <c r="B46" s="62">
        <f>+C13</f>
        <v>21097206.11</v>
      </c>
      <c r="C46" s="84" t="s">
        <v>1</v>
      </c>
      <c r="D46" s="5"/>
      <c r="F46" s="50"/>
    </row>
    <row r="47" spans="1:6" ht="17.25">
      <c r="A47" s="61">
        <f>+D13</f>
        <v>957850</v>
      </c>
      <c r="B47" s="62">
        <f>+E13</f>
        <v>717747.88</v>
      </c>
      <c r="C47" s="84" t="s">
        <v>2</v>
      </c>
      <c r="D47" s="5"/>
      <c r="F47" s="50"/>
    </row>
    <row r="48" spans="1:6" ht="17.25">
      <c r="A48" s="61">
        <f>+F13</f>
        <v>7428475.25</v>
      </c>
      <c r="B48" s="62">
        <f>+G13</f>
        <v>7348991</v>
      </c>
      <c r="C48" s="84" t="s">
        <v>3</v>
      </c>
      <c r="D48" s="5"/>
      <c r="F48" s="50"/>
    </row>
    <row r="49" spans="1:6" ht="17.25">
      <c r="A49" s="63">
        <f>+H13</f>
        <v>6000</v>
      </c>
      <c r="B49" s="62">
        <f>+I13</f>
        <v>83082.44</v>
      </c>
      <c r="C49" s="85" t="s">
        <v>34</v>
      </c>
      <c r="D49" s="5"/>
      <c r="F49" s="50"/>
    </row>
    <row r="50" spans="1:3" ht="17.25">
      <c r="A50" s="61">
        <f>+J13</f>
        <v>788350</v>
      </c>
      <c r="B50" s="62">
        <f>+K13</f>
        <v>661944.14</v>
      </c>
      <c r="C50" s="59" t="s">
        <v>32</v>
      </c>
    </row>
    <row r="51" spans="1:3" ht="17.25">
      <c r="A51" s="63">
        <f>+L13</f>
        <v>0</v>
      </c>
      <c r="B51" s="62">
        <f>+M13</f>
        <v>141234.96</v>
      </c>
      <c r="C51" s="59" t="s">
        <v>94</v>
      </c>
    </row>
    <row r="52" spans="1:3" ht="17.25">
      <c r="A52" s="61">
        <f>+N13</f>
        <v>1174634.28</v>
      </c>
      <c r="B52" s="62">
        <f>+O13</f>
        <v>2712733.08</v>
      </c>
      <c r="C52" s="59" t="s">
        <v>35</v>
      </c>
    </row>
    <row r="53" spans="2:3" ht="16.5">
      <c r="B53" s="46"/>
      <c r="C53" s="59"/>
    </row>
    <row r="54" spans="1:2" ht="16.5">
      <c r="A54" s="1">
        <v>2161994.87</v>
      </c>
      <c r="B54" s="49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299212598425197" right="0" top="0.984251968503937" bottom="0.984251968503937" header="0.393700787401574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4">
      <selection activeCell="O17" sqref="O17"/>
    </sheetView>
  </sheetViews>
  <sheetFormatPr defaultColWidth="11.421875" defaultRowHeight="15"/>
  <cols>
    <col min="1" max="1" width="22.421875" style="1" customWidth="1"/>
    <col min="2" max="2" width="12.140625" style="1" customWidth="1"/>
    <col min="3" max="3" width="12.421875" style="1" customWidth="1"/>
    <col min="4" max="4" width="7.7109375" style="1" customWidth="1"/>
    <col min="5" max="5" width="9.57421875" style="1" customWidth="1"/>
    <col min="6" max="6" width="7.8515625" style="1" customWidth="1"/>
    <col min="7" max="7" width="9.421875" style="1" customWidth="1"/>
    <col min="8" max="8" width="7.57421875" style="1" customWidth="1"/>
    <col min="9" max="9" width="11.140625" style="1" customWidth="1"/>
    <col min="10" max="10" width="7.7109375" style="1" customWidth="1"/>
    <col min="11" max="11" width="9.7109375" style="1" customWidth="1"/>
    <col min="12" max="12" width="6.57421875" style="1" customWidth="1"/>
    <col min="13" max="13" width="8.57421875" style="1" customWidth="1"/>
    <col min="14" max="14" width="7.57421875" style="1" customWidth="1"/>
    <col min="15" max="15" width="10.421875" style="1" customWidth="1"/>
    <col min="16" max="16" width="12.421875" style="1" customWidth="1"/>
    <col min="17" max="17" width="11.28125" style="1" customWidth="1"/>
    <col min="18" max="18" width="12.140625" style="1" bestFit="1" customWidth="1"/>
    <col min="19" max="16384" width="11.421875" style="1" customWidth="1"/>
  </cols>
  <sheetData>
    <row r="2" spans="1:15" ht="18">
      <c r="A2" s="138" t="s">
        <v>0</v>
      </c>
      <c r="B2" s="196" t="s">
        <v>104</v>
      </c>
      <c r="C2" s="196"/>
      <c r="D2" s="201"/>
      <c r="E2" s="201"/>
      <c r="I2" s="205" t="s">
        <v>23</v>
      </c>
      <c r="J2" s="205"/>
      <c r="K2" s="142">
        <v>41609</v>
      </c>
      <c r="L2" s="117"/>
      <c r="M2" s="117"/>
      <c r="O2" s="22"/>
    </row>
    <row r="3" spans="2:3" ht="16.5">
      <c r="B3" s="211"/>
      <c r="C3" s="211"/>
    </row>
    <row r="5" ht="17.25" thickBot="1"/>
    <row r="6" spans="1:17" ht="17.25">
      <c r="A6" s="24"/>
      <c r="B6" s="203" t="s">
        <v>1</v>
      </c>
      <c r="C6" s="204"/>
      <c r="D6" s="203" t="s">
        <v>2</v>
      </c>
      <c r="E6" s="204"/>
      <c r="F6" s="203" t="s">
        <v>3</v>
      </c>
      <c r="G6" s="204"/>
      <c r="H6" s="203" t="s">
        <v>4</v>
      </c>
      <c r="I6" s="204"/>
      <c r="J6" s="203" t="s">
        <v>32</v>
      </c>
      <c r="K6" s="204"/>
      <c r="L6" s="119" t="s">
        <v>36</v>
      </c>
      <c r="M6" s="71"/>
      <c r="N6" s="203" t="s">
        <v>33</v>
      </c>
      <c r="O6" s="204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30" t="s">
        <v>91</v>
      </c>
      <c r="B8" s="157">
        <f>1216792-118606.35+200000</f>
        <v>1298185.65</v>
      </c>
      <c r="C8" s="32">
        <f>59540.02+1128942.04</f>
        <v>1188482.06</v>
      </c>
      <c r="D8" s="65">
        <v>74000</v>
      </c>
      <c r="E8" s="32">
        <v>14522.41</v>
      </c>
      <c r="F8" s="65">
        <v>408500</v>
      </c>
      <c r="G8" s="32">
        <v>34904.27</v>
      </c>
      <c r="H8" s="65">
        <f>335416-1000</f>
        <v>334416</v>
      </c>
      <c r="I8" s="32">
        <f>2000+352466.8</f>
        <v>354466.8</v>
      </c>
      <c r="J8" s="65">
        <f>170000-100000</f>
        <v>70000</v>
      </c>
      <c r="K8" s="32">
        <v>29898.21</v>
      </c>
      <c r="L8" s="65">
        <v>0</v>
      </c>
      <c r="M8" s="32">
        <v>0</v>
      </c>
      <c r="N8" s="65">
        <f>100000+168909.53</f>
        <v>268909.53</v>
      </c>
      <c r="O8" s="32">
        <v>261048.03</v>
      </c>
      <c r="P8" s="33">
        <f>+C8+G8+I8+K8+O8+E8</f>
        <v>1883321.78</v>
      </c>
      <c r="Q8" s="33">
        <f>+B8+D8+F8+H8+J8+N8-P8+L8</f>
        <v>570689.3999999997</v>
      </c>
      <c r="R8" s="149"/>
    </row>
    <row r="9" spans="1:17" ht="17.25">
      <c r="A9" s="30" t="s">
        <v>120</v>
      </c>
      <c r="B9" s="157">
        <f>598019-24651.59</f>
        <v>573367.41</v>
      </c>
      <c r="C9" s="32">
        <f>141001.01+753281.66</f>
        <v>894282.67</v>
      </c>
      <c r="D9" s="65">
        <v>0</v>
      </c>
      <c r="E9" s="32">
        <v>0</v>
      </c>
      <c r="F9" s="65">
        <v>0</v>
      </c>
      <c r="G9" s="32">
        <v>521.08</v>
      </c>
      <c r="H9" s="65">
        <v>0</v>
      </c>
      <c r="I9" s="32">
        <v>0</v>
      </c>
      <c r="J9" s="65">
        <v>0</v>
      </c>
      <c r="K9" s="32">
        <v>0</v>
      </c>
      <c r="L9" s="65">
        <v>0</v>
      </c>
      <c r="M9" s="32">
        <v>0</v>
      </c>
      <c r="N9" s="65">
        <v>0</v>
      </c>
      <c r="O9" s="32">
        <v>0</v>
      </c>
      <c r="P9" s="33">
        <f>+C9+G9+I9+K9+O9+E9</f>
        <v>894803.75</v>
      </c>
      <c r="Q9" s="33">
        <f>+B9+D9+F9+H9+J9+N9-P9</f>
        <v>-321436.33999999997</v>
      </c>
    </row>
    <row r="10" spans="1:17" ht="10.5" customHeight="1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3"/>
      <c r="Q10" s="33"/>
    </row>
    <row r="11" spans="1:17" ht="18" thickBot="1">
      <c r="A11" s="37" t="s">
        <v>11</v>
      </c>
      <c r="B11" s="158">
        <f>SUM(B8:B9)</f>
        <v>1871553.06</v>
      </c>
      <c r="C11" s="39">
        <f>SUM(C8:C9)</f>
        <v>2082764.73</v>
      </c>
      <c r="D11" s="38">
        <f>SUM(D8:D9)</f>
        <v>74000</v>
      </c>
      <c r="E11" s="39">
        <f>SUM(E8:E9)</f>
        <v>14522.41</v>
      </c>
      <c r="F11" s="38">
        <f>SUM(F8:F10)</f>
        <v>408500</v>
      </c>
      <c r="G11" s="39">
        <f aca="true" t="shared" si="0" ref="G11:Q11">SUM(G8:G9)</f>
        <v>35425.35</v>
      </c>
      <c r="H11" s="38">
        <f t="shared" si="0"/>
        <v>334416</v>
      </c>
      <c r="I11" s="39">
        <f t="shared" si="0"/>
        <v>354466.8</v>
      </c>
      <c r="J11" s="38">
        <f t="shared" si="0"/>
        <v>70000</v>
      </c>
      <c r="K11" s="39">
        <f t="shared" si="0"/>
        <v>29898.21</v>
      </c>
      <c r="L11" s="38">
        <f t="shared" si="0"/>
        <v>0</v>
      </c>
      <c r="M11" s="39">
        <f t="shared" si="0"/>
        <v>0</v>
      </c>
      <c r="N11" s="38">
        <f t="shared" si="0"/>
        <v>268909.53</v>
      </c>
      <c r="O11" s="39">
        <f t="shared" si="0"/>
        <v>261048.03</v>
      </c>
      <c r="P11" s="40">
        <f t="shared" si="0"/>
        <v>2778125.5300000003</v>
      </c>
      <c r="Q11" s="40">
        <f t="shared" si="0"/>
        <v>249253.0599999997</v>
      </c>
    </row>
    <row r="12" spans="1:17" ht="17.25" thickBot="1">
      <c r="A12" s="41" t="s">
        <v>30</v>
      </c>
      <c r="B12" s="81"/>
      <c r="C12" s="86">
        <f>+C11/B11</f>
        <v>1.1128536906135058</v>
      </c>
      <c r="D12" s="86"/>
      <c r="E12" s="86">
        <f>+E11/D11</f>
        <v>0.19624878378378377</v>
      </c>
      <c r="F12" s="155"/>
      <c r="G12" s="86">
        <f>+G11/F11</f>
        <v>0.08672056303549572</v>
      </c>
      <c r="H12" s="86"/>
      <c r="I12" s="86">
        <f>+I11/H11</f>
        <v>1.0599576575283478</v>
      </c>
      <c r="J12" s="82"/>
      <c r="K12" s="86">
        <f>+K11/J11</f>
        <v>0.4271172857142857</v>
      </c>
      <c r="L12" s="83"/>
      <c r="M12" s="139"/>
      <c r="N12" s="43"/>
      <c r="O12" s="133">
        <f>+O11/N11</f>
        <v>0.9707652607179819</v>
      </c>
      <c r="P12" s="55"/>
      <c r="Q12" s="87"/>
    </row>
    <row r="13" spans="1:18" ht="16.5">
      <c r="A13" s="47"/>
      <c r="B13" s="4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132"/>
      <c r="Q13" s="5"/>
      <c r="R13" s="5"/>
    </row>
    <row r="40" spans="1:8" ht="16.5">
      <c r="A40" s="50"/>
      <c r="B40" s="50"/>
      <c r="C40" s="50"/>
      <c r="D40" s="50"/>
      <c r="G40" s="50"/>
      <c r="H40" s="50"/>
    </row>
    <row r="42" spans="3:8" ht="16.5">
      <c r="C42" s="49"/>
      <c r="D42" s="5"/>
      <c r="G42" s="50"/>
      <c r="H42" s="50"/>
    </row>
    <row r="43" spans="4:8" ht="16.5">
      <c r="D43" s="5"/>
      <c r="H43" s="50"/>
    </row>
    <row r="44" spans="1:8" ht="16.5">
      <c r="A44" s="59" t="s">
        <v>26</v>
      </c>
      <c r="B44" s="67" t="s">
        <v>27</v>
      </c>
      <c r="C44" s="84" t="s">
        <v>28</v>
      </c>
      <c r="D44" s="5"/>
      <c r="H44" s="50"/>
    </row>
    <row r="45" spans="1:8" ht="17.25">
      <c r="A45" s="61">
        <f>+B11</f>
        <v>1871553.06</v>
      </c>
      <c r="B45" s="62">
        <f>+C11</f>
        <v>2082764.73</v>
      </c>
      <c r="C45" s="84" t="s">
        <v>1</v>
      </c>
      <c r="D45" s="5"/>
      <c r="H45" s="50"/>
    </row>
    <row r="46" spans="1:8" ht="17.25">
      <c r="A46" s="61">
        <f>+D11</f>
        <v>74000</v>
      </c>
      <c r="B46" s="62">
        <f>+E11</f>
        <v>14522.41</v>
      </c>
      <c r="C46" s="84" t="s">
        <v>2</v>
      </c>
      <c r="D46" s="5"/>
      <c r="H46" s="50"/>
    </row>
    <row r="47" spans="1:8" ht="17.25">
      <c r="A47" s="61">
        <f>+F11</f>
        <v>408500</v>
      </c>
      <c r="B47" s="62">
        <f>+G11</f>
        <v>35425.35</v>
      </c>
      <c r="C47" s="84" t="s">
        <v>3</v>
      </c>
      <c r="D47" s="5"/>
      <c r="H47" s="50"/>
    </row>
    <row r="48" spans="1:3" ht="17.25">
      <c r="A48" s="61">
        <f>+H11</f>
        <v>334416</v>
      </c>
      <c r="B48" s="62">
        <f>+I11</f>
        <v>354466.8</v>
      </c>
      <c r="C48" s="59" t="s">
        <v>34</v>
      </c>
    </row>
    <row r="49" spans="1:3" ht="17.25">
      <c r="A49" s="61">
        <f>+J11</f>
        <v>70000</v>
      </c>
      <c r="B49" s="62">
        <f>+K11</f>
        <v>29898.21</v>
      </c>
      <c r="C49" s="59" t="s">
        <v>32</v>
      </c>
    </row>
    <row r="50" spans="1:3" ht="17.25">
      <c r="A50" s="63">
        <f>+L11</f>
        <v>0</v>
      </c>
      <c r="B50" s="62">
        <f>+M11</f>
        <v>0</v>
      </c>
      <c r="C50" s="59" t="s">
        <v>90</v>
      </c>
    </row>
    <row r="51" spans="1:3" ht="17.25">
      <c r="A51" s="61">
        <f>+N11</f>
        <v>268909.53</v>
      </c>
      <c r="B51" s="62">
        <f>+O11</f>
        <v>261048.03</v>
      </c>
      <c r="C51" s="59" t="s">
        <v>35</v>
      </c>
    </row>
    <row r="52" spans="1:3" ht="17.25">
      <c r="A52" s="61">
        <v>565834</v>
      </c>
      <c r="B52" s="62">
        <v>158443.27</v>
      </c>
      <c r="C52" s="88"/>
    </row>
    <row r="53" ht="16.5">
      <c r="C53" s="88"/>
    </row>
    <row r="54" ht="16.5">
      <c r="C54" s="88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5905511811023623" right="0.6299212598425197" top="0.8267716535433072" bottom="0.5118110236220472" header="0.393700787401574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12.57421875" style="1" customWidth="1"/>
    <col min="2" max="2" width="8.7109375" style="1" customWidth="1"/>
    <col min="3" max="3" width="10.71093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7109375" style="1" customWidth="1"/>
    <col min="12" max="12" width="7.28125" style="1" customWidth="1"/>
    <col min="13" max="13" width="9.8515625" style="1" customWidth="1"/>
    <col min="14" max="14" width="11.00390625" style="1" customWidth="1"/>
    <col min="15" max="15" width="9.57421875" style="1" customWidth="1"/>
    <col min="16" max="16384" width="11.421875" style="1" customWidth="1"/>
  </cols>
  <sheetData>
    <row r="2" spans="1:12" ht="18">
      <c r="A2" s="138" t="s">
        <v>0</v>
      </c>
      <c r="B2" s="196" t="s">
        <v>105</v>
      </c>
      <c r="C2" s="213"/>
      <c r="D2" s="201"/>
      <c r="E2" s="201"/>
      <c r="I2" s="205" t="s">
        <v>23</v>
      </c>
      <c r="J2" s="205"/>
      <c r="K2" s="142">
        <v>41609</v>
      </c>
      <c r="L2" s="19"/>
    </row>
    <row r="3" spans="2:4" ht="16.5">
      <c r="B3" s="211"/>
      <c r="C3" s="212"/>
      <c r="D3" s="89"/>
    </row>
    <row r="5" ht="17.25" thickBot="1"/>
    <row r="6" spans="1:15" ht="17.25">
      <c r="A6" s="24"/>
      <c r="B6" s="203" t="s">
        <v>1</v>
      </c>
      <c r="C6" s="204"/>
      <c r="D6" s="203" t="s">
        <v>2</v>
      </c>
      <c r="E6" s="204"/>
      <c r="F6" s="203" t="s">
        <v>3</v>
      </c>
      <c r="G6" s="204"/>
      <c r="H6" s="203" t="s">
        <v>4</v>
      </c>
      <c r="I6" s="204"/>
      <c r="J6" s="203" t="s">
        <v>32</v>
      </c>
      <c r="K6" s="204"/>
      <c r="L6" s="203" t="s">
        <v>33</v>
      </c>
      <c r="M6" s="204"/>
      <c r="N6" s="25" t="s">
        <v>5</v>
      </c>
      <c r="O6" s="25" t="s">
        <v>38</v>
      </c>
    </row>
    <row r="7" spans="1:15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8" t="s">
        <v>25</v>
      </c>
      <c r="O7" s="29" t="s">
        <v>39</v>
      </c>
    </row>
    <row r="8" spans="1:15" ht="16.5">
      <c r="A8" s="90"/>
      <c r="B8" s="91"/>
      <c r="C8" s="32"/>
      <c r="D8" s="35"/>
      <c r="E8" s="32"/>
      <c r="F8" s="35"/>
      <c r="G8" s="32"/>
      <c r="H8" s="35"/>
      <c r="I8" s="32"/>
      <c r="J8" s="35"/>
      <c r="K8" s="32"/>
      <c r="L8" s="35"/>
      <c r="M8" s="32"/>
      <c r="N8" s="33"/>
      <c r="O8" s="33"/>
    </row>
    <row r="9" spans="1:15" ht="17.25">
      <c r="A9" s="30" t="s">
        <v>88</v>
      </c>
      <c r="B9" s="54">
        <v>581329</v>
      </c>
      <c r="C9" s="32">
        <f>53780.89+508136.38</f>
        <v>561917.27</v>
      </c>
      <c r="D9" s="72">
        <v>2500</v>
      </c>
      <c r="E9" s="32">
        <v>2766</v>
      </c>
      <c r="F9" s="72">
        <v>92100</v>
      </c>
      <c r="G9" s="32">
        <v>90603.75</v>
      </c>
      <c r="H9" s="72">
        <v>0</v>
      </c>
      <c r="I9" s="32">
        <v>0</v>
      </c>
      <c r="J9" s="72">
        <v>0</v>
      </c>
      <c r="K9" s="32">
        <v>0</v>
      </c>
      <c r="L9" s="72">
        <v>50000</v>
      </c>
      <c r="M9" s="32">
        <v>69608.48</v>
      </c>
      <c r="N9" s="33">
        <f>+M9+K9+I9+G9+E9+C9</f>
        <v>724895.5</v>
      </c>
      <c r="O9" s="33">
        <f>+B9+D9+F9+H9+J9+L9-N9</f>
        <v>1033.5</v>
      </c>
    </row>
    <row r="10" spans="1:15" ht="16.5" hidden="1">
      <c r="A10" s="90"/>
      <c r="B10" s="91"/>
      <c r="C10" s="32"/>
      <c r="D10" s="35"/>
      <c r="E10" s="32"/>
      <c r="F10" s="35"/>
      <c r="G10" s="32"/>
      <c r="H10" s="35"/>
      <c r="I10" s="32"/>
      <c r="J10" s="35"/>
      <c r="K10" s="32"/>
      <c r="L10" s="35"/>
      <c r="M10" s="32"/>
      <c r="N10" s="33"/>
      <c r="O10" s="33"/>
    </row>
    <row r="11" spans="1:15" ht="16.5">
      <c r="A11" s="90"/>
      <c r="B11" s="91"/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3"/>
      <c r="O11" s="33"/>
    </row>
    <row r="12" spans="1:15" ht="18" thickBot="1">
      <c r="A12" s="37" t="s">
        <v>11</v>
      </c>
      <c r="B12" s="38">
        <f>SUM(B9:B11)</f>
        <v>581329</v>
      </c>
      <c r="C12" s="39">
        <f>SUM(C9)</f>
        <v>561917.27</v>
      </c>
      <c r="D12" s="38">
        <f>SUM(D9:D11)</f>
        <v>2500</v>
      </c>
      <c r="E12" s="39">
        <f>SUM(E9)</f>
        <v>2766</v>
      </c>
      <c r="F12" s="38">
        <f>SUM(F9:F11)</f>
        <v>92100</v>
      </c>
      <c r="G12" s="39">
        <f>SUM(G9)</f>
        <v>90603.75</v>
      </c>
      <c r="H12" s="92">
        <f>SUM(H9:H11)</f>
        <v>0</v>
      </c>
      <c r="I12" s="39">
        <v>0</v>
      </c>
      <c r="J12" s="38">
        <f>SUM(J9:J11)</f>
        <v>0</v>
      </c>
      <c r="K12" s="39">
        <f>SUM(K9)</f>
        <v>0</v>
      </c>
      <c r="L12" s="38">
        <f>SUM(L9:L11)</f>
        <v>50000</v>
      </c>
      <c r="M12" s="39">
        <f>SUM(M9)</f>
        <v>69608.48</v>
      </c>
      <c r="N12" s="40">
        <f>SUM(N9)</f>
        <v>724895.5</v>
      </c>
      <c r="O12" s="40">
        <f>SUM(O9)</f>
        <v>1033.5</v>
      </c>
    </row>
    <row r="13" spans="1:15" ht="17.25" thickBot="1">
      <c r="A13" s="41" t="s">
        <v>30</v>
      </c>
      <c r="B13" s="81"/>
      <c r="C13" s="86">
        <f>+C12/B12</f>
        <v>0.9666080137065243</v>
      </c>
      <c r="D13" s="82"/>
      <c r="E13" s="155">
        <f>+E12/D12</f>
        <v>1.1064</v>
      </c>
      <c r="F13" s="82"/>
      <c r="G13" s="86">
        <f>+G12/F12</f>
        <v>0.9837540716612377</v>
      </c>
      <c r="H13" s="82"/>
      <c r="I13" s="82"/>
      <c r="J13" s="82"/>
      <c r="K13" s="45"/>
      <c r="L13" s="43"/>
      <c r="M13" s="133">
        <f>+M12/L12</f>
        <v>1.3921696</v>
      </c>
      <c r="N13" s="55"/>
      <c r="O13" s="5"/>
    </row>
    <row r="14" spans="1:14" ht="16.5">
      <c r="A14" s="47"/>
      <c r="B14" s="47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32"/>
    </row>
    <row r="33" spans="5:10" ht="16.5">
      <c r="E33" s="58"/>
      <c r="F33" s="58"/>
      <c r="J33" s="58"/>
    </row>
    <row r="44" spans="1:8" ht="16.5">
      <c r="A44" s="50"/>
      <c r="B44" s="50"/>
      <c r="C44" s="50"/>
      <c r="D44" s="50"/>
      <c r="G44" s="50"/>
      <c r="H44" s="50"/>
    </row>
    <row r="46" spans="3:8" ht="16.5">
      <c r="C46" s="5"/>
      <c r="D46" s="5"/>
      <c r="G46" s="50"/>
      <c r="H46" s="50"/>
    </row>
    <row r="47" spans="4:8" ht="16.5">
      <c r="D47" s="5"/>
      <c r="H47" s="50"/>
    </row>
    <row r="48" spans="1:8" ht="16.5">
      <c r="A48" s="67" t="s">
        <v>26</v>
      </c>
      <c r="B48" s="67" t="s">
        <v>27</v>
      </c>
      <c r="C48" s="84" t="s">
        <v>28</v>
      </c>
      <c r="D48" s="5"/>
      <c r="H48" s="50"/>
    </row>
    <row r="49" spans="1:8" ht="17.25">
      <c r="A49" s="62">
        <f>+B12</f>
        <v>581329</v>
      </c>
      <c r="B49" s="62">
        <f>+C12</f>
        <v>561917.27</v>
      </c>
      <c r="C49" s="84" t="s">
        <v>1</v>
      </c>
      <c r="D49" s="5"/>
      <c r="H49" s="50"/>
    </row>
    <row r="50" spans="1:8" ht="17.25">
      <c r="A50" s="62">
        <f>+D12</f>
        <v>2500</v>
      </c>
      <c r="B50" s="62">
        <f>+E12</f>
        <v>2766</v>
      </c>
      <c r="C50" s="84" t="s">
        <v>2</v>
      </c>
      <c r="D50" s="5"/>
      <c r="H50" s="50"/>
    </row>
    <row r="51" spans="1:8" ht="17.25">
      <c r="A51" s="62">
        <f>+F12</f>
        <v>92100</v>
      </c>
      <c r="B51" s="62">
        <f>+G12</f>
        <v>90603.75</v>
      </c>
      <c r="C51" s="84" t="s">
        <v>3</v>
      </c>
      <c r="D51" s="5"/>
      <c r="H51" s="50"/>
    </row>
    <row r="52" spans="1:3" ht="17.25">
      <c r="A52" s="62">
        <f>+J12</f>
        <v>0</v>
      </c>
      <c r="B52" s="62">
        <f>+K12</f>
        <v>0</v>
      </c>
      <c r="C52" s="59" t="s">
        <v>32</v>
      </c>
    </row>
    <row r="53" spans="1:3" ht="17.25">
      <c r="A53" s="62">
        <f>+L12</f>
        <v>50000</v>
      </c>
      <c r="B53" s="62">
        <f>+M12</f>
        <v>69608.48</v>
      </c>
      <c r="C53" s="59" t="s">
        <v>35</v>
      </c>
    </row>
    <row r="54" spans="1:2" ht="17.25">
      <c r="A54" s="61"/>
      <c r="B54" s="61"/>
    </row>
    <row r="55" spans="1:2" ht="17.25">
      <c r="A55" s="61">
        <v>167558</v>
      </c>
      <c r="B55" s="62">
        <v>40952.32</v>
      </c>
    </row>
    <row r="56" spans="1:2" ht="17.25">
      <c r="A56" s="61"/>
      <c r="B56" s="61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7">
      <selection activeCell="O25" sqref="O25"/>
    </sheetView>
  </sheetViews>
  <sheetFormatPr defaultColWidth="11.421875" defaultRowHeight="15"/>
  <cols>
    <col min="1" max="1" width="13.8515625" style="1" customWidth="1"/>
    <col min="2" max="2" width="12.421875" style="1" customWidth="1"/>
    <col min="3" max="3" width="11.7109375" style="1" customWidth="1"/>
    <col min="4" max="4" width="8.7109375" style="1" customWidth="1"/>
    <col min="5" max="5" width="10.7109375" style="1" customWidth="1"/>
    <col min="6" max="6" width="12.28125" style="1" customWidth="1"/>
    <col min="7" max="7" width="10.8515625" style="1" customWidth="1"/>
    <col min="8" max="8" width="7.28125" style="1" customWidth="1"/>
    <col min="9" max="9" width="9.28125" style="1" customWidth="1"/>
    <col min="10" max="10" width="8.8515625" style="1" customWidth="1"/>
    <col min="11" max="11" width="10.8515625" style="1" customWidth="1"/>
    <col min="12" max="12" width="8.8515625" style="1" customWidth="1"/>
    <col min="13" max="13" width="10.7109375" style="1" customWidth="1"/>
    <col min="14" max="14" width="11.28125" style="1" customWidth="1"/>
    <col min="15" max="15" width="10.8515625" style="1" customWidth="1"/>
    <col min="16" max="16" width="11.8515625" style="1" customWidth="1"/>
    <col min="17" max="17" width="11.7109375" style="1" customWidth="1"/>
    <col min="18" max="18" width="15.421875" style="1" customWidth="1"/>
    <col min="19" max="16384" width="11.421875" style="1" customWidth="1"/>
  </cols>
  <sheetData>
    <row r="1" spans="1:15" ht="18">
      <c r="A1" s="138" t="s">
        <v>0</v>
      </c>
      <c r="B1" s="196" t="s">
        <v>106</v>
      </c>
      <c r="C1" s="208"/>
      <c r="D1" s="208"/>
      <c r="E1" s="208"/>
      <c r="F1" s="209"/>
      <c r="L1" s="205" t="s">
        <v>23</v>
      </c>
      <c r="M1" s="206"/>
      <c r="N1" s="142">
        <v>41609</v>
      </c>
      <c r="O1" s="22"/>
    </row>
    <row r="2" spans="2:4" ht="4.5" customHeight="1">
      <c r="B2" s="211"/>
      <c r="C2" s="212"/>
      <c r="D2" s="212"/>
    </row>
    <row r="3" ht="17.25" thickBot="1"/>
    <row r="4" spans="1:17" ht="17.25">
      <c r="A4" s="24"/>
      <c r="B4" s="203" t="s">
        <v>1</v>
      </c>
      <c r="C4" s="204"/>
      <c r="D4" s="203" t="s">
        <v>2</v>
      </c>
      <c r="E4" s="204"/>
      <c r="F4" s="203" t="s">
        <v>3</v>
      </c>
      <c r="G4" s="204"/>
      <c r="H4" s="203" t="s">
        <v>34</v>
      </c>
      <c r="I4" s="204"/>
      <c r="J4" s="203" t="s">
        <v>32</v>
      </c>
      <c r="K4" s="204"/>
      <c r="L4" s="203" t="s">
        <v>36</v>
      </c>
      <c r="M4" s="204"/>
      <c r="N4" s="203" t="s">
        <v>33</v>
      </c>
      <c r="O4" s="204"/>
      <c r="P4" s="25" t="s">
        <v>5</v>
      </c>
      <c r="Q4" s="25" t="s">
        <v>38</v>
      </c>
    </row>
    <row r="5" spans="1:17" ht="17.25">
      <c r="A5" s="26"/>
      <c r="B5" s="27" t="s">
        <v>31</v>
      </c>
      <c r="C5" s="27" t="s">
        <v>37</v>
      </c>
      <c r="D5" s="27" t="s">
        <v>31</v>
      </c>
      <c r="E5" s="27" t="s">
        <v>37</v>
      </c>
      <c r="F5" s="27" t="s">
        <v>31</v>
      </c>
      <c r="G5" s="27" t="s">
        <v>37</v>
      </c>
      <c r="H5" s="27" t="s">
        <v>31</v>
      </c>
      <c r="I5" s="27" t="s">
        <v>37</v>
      </c>
      <c r="J5" s="27" t="s">
        <v>31</v>
      </c>
      <c r="K5" s="27" t="s">
        <v>37</v>
      </c>
      <c r="L5" s="27" t="s">
        <v>31</v>
      </c>
      <c r="M5" s="27" t="s">
        <v>37</v>
      </c>
      <c r="N5" s="27" t="s">
        <v>31</v>
      </c>
      <c r="O5" s="27" t="s">
        <v>37</v>
      </c>
      <c r="P5" s="118" t="s">
        <v>25</v>
      </c>
      <c r="Q5" s="29" t="s">
        <v>39</v>
      </c>
    </row>
    <row r="6" spans="1:18" ht="16.5">
      <c r="A6" s="176" t="s">
        <v>14</v>
      </c>
      <c r="B6" s="182">
        <f>2107336-147909.54+5200000</f>
        <v>7159426.46</v>
      </c>
      <c r="C6" s="177">
        <f>116112.08+1502833.25+3200.77+86391.92+23036.66+176145.49</f>
        <v>1907720.17</v>
      </c>
      <c r="D6" s="179">
        <f>132534+150000</f>
        <v>282534</v>
      </c>
      <c r="E6" s="180">
        <v>1377983.12</v>
      </c>
      <c r="F6" s="178">
        <f>487224+4061000</f>
        <v>4548224</v>
      </c>
      <c r="G6" s="177">
        <f>7306.93+387922.08-1000+21760</f>
        <v>415989.01</v>
      </c>
      <c r="H6" s="178">
        <f>138092-3000</f>
        <v>135092</v>
      </c>
      <c r="I6" s="177">
        <v>162287.69</v>
      </c>
      <c r="J6" s="178">
        <f>12096+5500000-3600000</f>
        <v>1912096</v>
      </c>
      <c r="K6" s="177">
        <v>10287.56</v>
      </c>
      <c r="L6" s="178">
        <v>112000</v>
      </c>
      <c r="M6" s="177">
        <v>20970</v>
      </c>
      <c r="N6" s="177">
        <f>1500000+1124847.42</f>
        <v>2624847.42</v>
      </c>
      <c r="O6" s="177">
        <f>23.59+617864.77</f>
        <v>617888.36</v>
      </c>
      <c r="P6" s="181">
        <f>+O6+M6+K6+I6+G6+E6+C6</f>
        <v>4513125.91</v>
      </c>
      <c r="Q6" s="181">
        <f aca="true" t="shared" si="0" ref="Q6:Q12">+B6+D6+F6+H6+J6+L6+N6-P6</f>
        <v>12261093.97</v>
      </c>
      <c r="R6" s="5"/>
    </row>
    <row r="7" spans="1:18" ht="16.5">
      <c r="A7" s="176" t="s">
        <v>107</v>
      </c>
      <c r="B7" s="182">
        <f>2581333-559303.17+250000</f>
        <v>2272029.83</v>
      </c>
      <c r="C7" s="177">
        <f>123074.77+1266932.99+59607.95+546074.72+61628.66+631559.64</f>
        <v>2688878.73</v>
      </c>
      <c r="D7" s="178">
        <v>190136</v>
      </c>
      <c r="E7" s="177">
        <f>3464.1+155184.45+1265</f>
        <v>159913.55000000002</v>
      </c>
      <c r="F7" s="178">
        <v>380876</v>
      </c>
      <c r="G7" s="177">
        <f>45280+584785.2+344.85-1000+36851.06</f>
        <v>666261.1099999999</v>
      </c>
      <c r="H7" s="178">
        <v>55000</v>
      </c>
      <c r="I7" s="177">
        <v>13279</v>
      </c>
      <c r="J7" s="178">
        <v>30240</v>
      </c>
      <c r="K7" s="177">
        <f>8300+70025.66</f>
        <v>78325.66</v>
      </c>
      <c r="L7" s="178">
        <f>457000-14000-200000</f>
        <v>243000</v>
      </c>
      <c r="M7" s="177">
        <f>3531.15+81742.08+11085.15</f>
        <v>96358.37999999999</v>
      </c>
      <c r="N7" s="178">
        <v>0</v>
      </c>
      <c r="O7" s="177">
        <v>208205.97</v>
      </c>
      <c r="P7" s="181">
        <f aca="true" t="shared" si="1" ref="P7:P12">+O7+M7+K7+I7+G7+E7+C7</f>
        <v>3911222.4</v>
      </c>
      <c r="Q7" s="181">
        <f t="shared" si="0"/>
        <v>-739940.5699999998</v>
      </c>
      <c r="R7" s="5"/>
    </row>
    <row r="8" spans="1:18" ht="16.5">
      <c r="A8" s="176" t="s">
        <v>108</v>
      </c>
      <c r="B8" s="191">
        <f>10474251-500000-550000+550000</f>
        <v>9974251</v>
      </c>
      <c r="C8" s="177">
        <f>924805.55+10213612.93</f>
        <v>11138418.48</v>
      </c>
      <c r="D8" s="178">
        <f>2188687-36000-20000</f>
        <v>2132687</v>
      </c>
      <c r="E8" s="177">
        <f>55088.57+1254483.12</f>
        <v>1309571.6900000002</v>
      </c>
      <c r="F8" s="178">
        <f>2714120-648000</f>
        <v>2066120</v>
      </c>
      <c r="G8" s="177">
        <f>329290.25+2537642.71</f>
        <v>2866932.96</v>
      </c>
      <c r="H8" s="178">
        <v>0</v>
      </c>
      <c r="I8" s="177">
        <v>0</v>
      </c>
      <c r="J8" s="178">
        <f>1921850-900000+168000</f>
        <v>1189850</v>
      </c>
      <c r="K8" s="177">
        <v>996091</v>
      </c>
      <c r="L8" s="178">
        <v>0</v>
      </c>
      <c r="M8" s="177">
        <v>5224.15</v>
      </c>
      <c r="N8" s="178">
        <v>0</v>
      </c>
      <c r="O8" s="177">
        <v>897173.51</v>
      </c>
      <c r="P8" s="181">
        <f t="shared" si="1"/>
        <v>17213411.79</v>
      </c>
      <c r="Q8" s="181">
        <f t="shared" si="0"/>
        <v>-1850503.789999999</v>
      </c>
      <c r="R8" s="5"/>
    </row>
    <row r="9" spans="1:18" ht="16.5">
      <c r="A9" s="176" t="s">
        <v>40</v>
      </c>
      <c r="B9" s="191">
        <f>4768632-500000</f>
        <v>4268632</v>
      </c>
      <c r="C9" s="177">
        <f>406944.15+3904450.5+8842.03+54058.28</f>
        <v>4374294.960000001</v>
      </c>
      <c r="D9" s="178">
        <f>1191341+200000</f>
        <v>1391341</v>
      </c>
      <c r="E9" s="177">
        <f>54579.33+1240377.42+2050+5181.4</f>
        <v>1302188.15</v>
      </c>
      <c r="F9" s="178">
        <v>493153</v>
      </c>
      <c r="G9" s="177">
        <f>26223.92+1120155.14</f>
        <v>1146379.0599999998</v>
      </c>
      <c r="H9" s="178">
        <v>0</v>
      </c>
      <c r="I9" s="177">
        <v>4700</v>
      </c>
      <c r="J9" s="178">
        <v>15000</v>
      </c>
      <c r="K9" s="177">
        <f>3871.52+1139289.64</f>
        <v>1143161.16</v>
      </c>
      <c r="L9" s="178">
        <v>0</v>
      </c>
      <c r="M9" s="177">
        <f>6872.4+488035.19</f>
        <v>494907.59</v>
      </c>
      <c r="N9" s="178">
        <v>0</v>
      </c>
      <c r="O9" s="177">
        <f>1600+220654.08</f>
        <v>222254.08</v>
      </c>
      <c r="P9" s="181">
        <f t="shared" si="1"/>
        <v>8687885</v>
      </c>
      <c r="Q9" s="181">
        <f t="shared" si="0"/>
        <v>-2519759</v>
      </c>
      <c r="R9" s="5"/>
    </row>
    <row r="10" spans="1:18" ht="16.5">
      <c r="A10" s="176" t="s">
        <v>109</v>
      </c>
      <c r="B10" s="191">
        <v>224426</v>
      </c>
      <c r="C10" s="177">
        <f>21368.77+156645.8</f>
        <v>178014.56999999998</v>
      </c>
      <c r="D10" s="179">
        <f>394054-10000</f>
        <v>384054</v>
      </c>
      <c r="E10" s="180">
        <f>45317.18+266334.3</f>
        <v>311651.48</v>
      </c>
      <c r="F10" s="179">
        <v>26800</v>
      </c>
      <c r="G10" s="180">
        <v>33665</v>
      </c>
      <c r="H10" s="179">
        <v>0</v>
      </c>
      <c r="I10" s="180">
        <v>0</v>
      </c>
      <c r="J10" s="179">
        <v>115000</v>
      </c>
      <c r="K10" s="180">
        <v>0</v>
      </c>
      <c r="L10" s="179">
        <v>1763400</v>
      </c>
      <c r="M10" s="180">
        <v>2846</v>
      </c>
      <c r="N10" s="179">
        <v>0</v>
      </c>
      <c r="O10" s="180">
        <v>9983.91</v>
      </c>
      <c r="P10" s="181">
        <f t="shared" si="1"/>
        <v>536160.96</v>
      </c>
      <c r="Q10" s="181">
        <f t="shared" si="0"/>
        <v>1977519.04</v>
      </c>
      <c r="R10" s="5"/>
    </row>
    <row r="11" spans="1:18" ht="16.5">
      <c r="A11" s="176" t="s">
        <v>110</v>
      </c>
      <c r="B11" s="191">
        <v>1038817</v>
      </c>
      <c r="C11" s="177">
        <f>71943.87+822147.13</f>
        <v>894091</v>
      </c>
      <c r="D11" s="178">
        <v>639137</v>
      </c>
      <c r="E11" s="177">
        <f>24930.98+328572.34</f>
        <v>353503.32</v>
      </c>
      <c r="F11" s="178">
        <v>2736000</v>
      </c>
      <c r="G11" s="177">
        <f>377256+2523856.62</f>
        <v>2901112.62</v>
      </c>
      <c r="H11" s="179">
        <v>0</v>
      </c>
      <c r="I11" s="177">
        <v>2700</v>
      </c>
      <c r="J11" s="179">
        <v>0</v>
      </c>
      <c r="K11" s="177">
        <v>4118</v>
      </c>
      <c r="L11" s="179">
        <v>0</v>
      </c>
      <c r="M11" s="177">
        <v>18404.68</v>
      </c>
      <c r="N11" s="179">
        <v>0</v>
      </c>
      <c r="O11" s="177">
        <v>371209.1</v>
      </c>
      <c r="P11" s="181">
        <f t="shared" si="1"/>
        <v>4545138.72</v>
      </c>
      <c r="Q11" s="181">
        <f t="shared" si="0"/>
        <v>-131184.71999999974</v>
      </c>
      <c r="R11" s="5"/>
    </row>
    <row r="12" spans="1:18" ht="16.5">
      <c r="A12" s="176" t="s">
        <v>78</v>
      </c>
      <c r="B12" s="191">
        <f>7668013-500000-500000+500000</f>
        <v>7168013</v>
      </c>
      <c r="C12" s="177">
        <f>1980729.18+5842413.72+208973.18+477923.46+32016.89+67842.29+21024.44+50956.76</f>
        <v>8681879.919999998</v>
      </c>
      <c r="D12" s="178">
        <v>525165</v>
      </c>
      <c r="E12" s="177">
        <f>5667+386449.61</f>
        <v>392116.61</v>
      </c>
      <c r="F12" s="177">
        <f>712987-15937.89</f>
        <v>697049.11</v>
      </c>
      <c r="G12" s="177">
        <f>19475.52+1033740.62-500+18750+18900.07</f>
        <v>1090366.21</v>
      </c>
      <c r="H12" s="178">
        <v>2400</v>
      </c>
      <c r="I12" s="177">
        <v>1358.12</v>
      </c>
      <c r="J12" s="178">
        <v>686879</v>
      </c>
      <c r="K12" s="177">
        <f>9930.14+1547134.44</f>
        <v>1557064.5799999998</v>
      </c>
      <c r="L12" s="178">
        <v>941000</v>
      </c>
      <c r="M12" s="177">
        <f>98057.13+929469.5</f>
        <v>1027526.63</v>
      </c>
      <c r="N12" s="178">
        <v>0</v>
      </c>
      <c r="O12" s="177">
        <v>463189.63</v>
      </c>
      <c r="P12" s="181">
        <f t="shared" si="1"/>
        <v>13213501.7</v>
      </c>
      <c r="Q12" s="181">
        <f t="shared" si="0"/>
        <v>-3192995.59</v>
      </c>
      <c r="R12" s="5"/>
    </row>
    <row r="13" spans="1:17" ht="17.25" thickBot="1">
      <c r="A13" s="37" t="s">
        <v>11</v>
      </c>
      <c r="B13" s="183">
        <f aca="true" t="shared" si="2" ref="B13:Q13">SUM(B6:B12)</f>
        <v>32105595.29</v>
      </c>
      <c r="C13" s="184">
        <f t="shared" si="2"/>
        <v>29863297.830000002</v>
      </c>
      <c r="D13" s="185">
        <f t="shared" si="2"/>
        <v>5545054</v>
      </c>
      <c r="E13" s="184">
        <f t="shared" si="2"/>
        <v>5206927.920000001</v>
      </c>
      <c r="F13" s="183">
        <f t="shared" si="2"/>
        <v>10948222.11</v>
      </c>
      <c r="G13" s="184">
        <f t="shared" si="2"/>
        <v>9120705.969999999</v>
      </c>
      <c r="H13" s="185">
        <f t="shared" si="2"/>
        <v>192492</v>
      </c>
      <c r="I13" s="184">
        <f t="shared" si="2"/>
        <v>184324.81</v>
      </c>
      <c r="J13" s="185">
        <f t="shared" si="2"/>
        <v>3949065</v>
      </c>
      <c r="K13" s="184">
        <f t="shared" si="2"/>
        <v>3789047.96</v>
      </c>
      <c r="L13" s="185">
        <f t="shared" si="2"/>
        <v>3059400</v>
      </c>
      <c r="M13" s="184">
        <f t="shared" si="2"/>
        <v>1666237.4300000002</v>
      </c>
      <c r="N13" s="183">
        <f t="shared" si="2"/>
        <v>2624847.42</v>
      </c>
      <c r="O13" s="184">
        <f t="shared" si="2"/>
        <v>2789904.5599999996</v>
      </c>
      <c r="P13" s="186">
        <f t="shared" si="2"/>
        <v>52620446.480000004</v>
      </c>
      <c r="Q13" s="186">
        <f t="shared" si="2"/>
        <v>5804229.340000004</v>
      </c>
    </row>
    <row r="14" spans="1:17" ht="17.25" thickBot="1">
      <c r="A14" s="37" t="s">
        <v>30</v>
      </c>
      <c r="B14" s="81"/>
      <c r="C14" s="86">
        <f>+C13/B13</f>
        <v>0.9301586704826367</v>
      </c>
      <c r="D14" s="86"/>
      <c r="E14" s="86">
        <f>+E13/D13</f>
        <v>0.9390220401821157</v>
      </c>
      <c r="F14" s="86"/>
      <c r="G14" s="86">
        <f>+G13/F13</f>
        <v>0.8330764464185683</v>
      </c>
      <c r="H14" s="86"/>
      <c r="I14" s="86">
        <f>+I13/H13</f>
        <v>0.9575712756893793</v>
      </c>
      <c r="J14" s="86"/>
      <c r="K14" s="86">
        <f>+K13/J13</f>
        <v>0.9594797654634705</v>
      </c>
      <c r="L14" s="140"/>
      <c r="M14" s="139">
        <f>+M13/L13</f>
        <v>0.5446288259135779</v>
      </c>
      <c r="N14" s="43"/>
      <c r="O14" s="133">
        <f>+O13/N13</f>
        <v>1.0628825655702303</v>
      </c>
      <c r="P14" s="55"/>
      <c r="Q14" s="5"/>
    </row>
    <row r="15" spans="1:17" ht="17.25">
      <c r="A15" s="47"/>
      <c r="B15" s="4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72"/>
      <c r="Q15" s="5"/>
    </row>
    <row r="16" spans="16:17" ht="16.5">
      <c r="P16" s="49"/>
      <c r="Q16" s="5"/>
    </row>
    <row r="33" ht="16.5">
      <c r="J33" s="58"/>
    </row>
    <row r="38" spans="1:6" ht="16.5">
      <c r="A38" s="50"/>
      <c r="B38" s="50"/>
      <c r="C38" s="50"/>
      <c r="D38" s="50"/>
      <c r="E38" s="50"/>
      <c r="F38" s="50"/>
    </row>
    <row r="40" spans="3:6" ht="16.5">
      <c r="C40" s="49"/>
      <c r="D40" s="5"/>
      <c r="E40" s="50"/>
      <c r="F40" s="50"/>
    </row>
    <row r="41" spans="3:6" ht="16.5">
      <c r="C41" s="49"/>
      <c r="D41" s="5"/>
      <c r="E41" s="50"/>
      <c r="F41" s="50"/>
    </row>
    <row r="42" spans="3:6" ht="16.5">
      <c r="C42" s="49"/>
      <c r="D42" s="5"/>
      <c r="E42" s="50"/>
      <c r="F42" s="50"/>
    </row>
    <row r="43" spans="1:6" ht="16.5">
      <c r="A43" s="74"/>
      <c r="C43" s="49"/>
      <c r="D43" s="5"/>
      <c r="E43" s="50"/>
      <c r="F43" s="50"/>
    </row>
    <row r="44" spans="3:6" ht="16.5">
      <c r="C44" s="49"/>
      <c r="D44" s="5"/>
      <c r="E44" s="50"/>
      <c r="F44" s="50"/>
    </row>
    <row r="45" spans="3:6" ht="16.5">
      <c r="C45" s="49"/>
      <c r="D45" s="5"/>
      <c r="E45" s="50"/>
      <c r="F45" s="50"/>
    </row>
    <row r="46" spans="3:6" ht="16.5">
      <c r="C46" s="49"/>
      <c r="D46" s="5"/>
      <c r="E46" s="50"/>
      <c r="F46" s="50"/>
    </row>
    <row r="47" ht="16.5">
      <c r="C47" s="46"/>
    </row>
    <row r="49" spans="1:4" ht="16.5">
      <c r="A49" s="59" t="s">
        <v>26</v>
      </c>
      <c r="B49" s="67" t="s">
        <v>27</v>
      </c>
      <c r="C49" s="59" t="s">
        <v>28</v>
      </c>
      <c r="D49" s="59"/>
    </row>
    <row r="50" spans="1:3" ht="17.25">
      <c r="A50" s="61">
        <f>+B13</f>
        <v>32105595.29</v>
      </c>
      <c r="B50" s="62">
        <f>+C13</f>
        <v>29863297.830000002</v>
      </c>
      <c r="C50" s="59" t="s">
        <v>1</v>
      </c>
    </row>
    <row r="51" spans="1:3" ht="17.25">
      <c r="A51" s="61">
        <f>+D13</f>
        <v>5545054</v>
      </c>
      <c r="B51" s="62">
        <f>+E13</f>
        <v>5206927.920000001</v>
      </c>
      <c r="C51" s="59" t="s">
        <v>2</v>
      </c>
    </row>
    <row r="52" spans="1:3" ht="17.25">
      <c r="A52" s="61">
        <f>+F13</f>
        <v>10948222.11</v>
      </c>
      <c r="B52" s="62">
        <f>+G13</f>
        <v>9120705.969999999</v>
      </c>
      <c r="C52" s="59" t="s">
        <v>3</v>
      </c>
    </row>
    <row r="53" spans="1:3" ht="17.25">
      <c r="A53" s="63">
        <f>+H13</f>
        <v>192492</v>
      </c>
      <c r="B53" s="62">
        <f>+I13</f>
        <v>184324.81</v>
      </c>
      <c r="C53" s="59" t="s">
        <v>34</v>
      </c>
    </row>
    <row r="54" spans="1:3" ht="17.25">
      <c r="A54" s="63">
        <f>+J13</f>
        <v>3949065</v>
      </c>
      <c r="B54" s="62">
        <f>+K13</f>
        <v>3789047.96</v>
      </c>
      <c r="C54" s="59" t="s">
        <v>32</v>
      </c>
    </row>
    <row r="55" spans="1:3" ht="17.25">
      <c r="A55" s="61">
        <f>+L13</f>
        <v>3059400</v>
      </c>
      <c r="B55" s="62">
        <f>+M13</f>
        <v>1666237.4300000002</v>
      </c>
      <c r="C55" s="59" t="s">
        <v>29</v>
      </c>
    </row>
    <row r="56" spans="1:3" ht="17.25">
      <c r="A56" s="61">
        <f>+N13</f>
        <v>2624847.42</v>
      </c>
      <c r="B56" s="62">
        <f>+O13</f>
        <v>2789904.5599999996</v>
      </c>
      <c r="C56" s="59" t="s">
        <v>35</v>
      </c>
    </row>
    <row r="57" spans="1:2" ht="17.25">
      <c r="A57" s="61"/>
      <c r="B57" s="61"/>
    </row>
    <row r="58" spans="1:2" ht="17.25">
      <c r="A58" s="61">
        <v>4568329</v>
      </c>
      <c r="B58" s="62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31496062992125984" right="0" top="0.9055118110236221" bottom="0.2362204724409449" header="0.35433070866141736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2014-04-11T14:27:55Z</cp:lastPrinted>
  <dcterms:created xsi:type="dcterms:W3CDTF">2000-04-26T12:06:38Z</dcterms:created>
  <dcterms:modified xsi:type="dcterms:W3CDTF">2014-04-11T14:27:58Z</dcterms:modified>
  <cp:category/>
  <cp:version/>
  <cp:contentType/>
  <cp:contentStatus/>
</cp:coreProperties>
</file>